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8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5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imwinga\Desktop\2026 Work Folder\2026 BFCA\"/>
    </mc:Choice>
  </mc:AlternateContent>
  <xr:revisionPtr revIDLastSave="0" documentId="8_{27484D9D-8C0F-49A3-9434-4B1D9A44712F}" xr6:coauthVersionLast="47" xr6:coauthVersionMax="47" xr10:uidLastSave="{00000000-0000-0000-0000-000000000000}"/>
  <workbookProtection workbookAlgorithmName="SHA-512" workbookHashValue="UT7b4vowLtxrtApvtj0sAEQ9DZA3tzvNtl8ednuGse24uJIRKmcA2yb+eWHq3+NYHex9UUKldtmKXCOOt1UEAQ==" workbookSaltValue="mA1h2ezDEekf2KfKyHSkNQ==" workbookSpinCount="100000" lockStructure="1"/>
  <bookViews>
    <workbookView showSheetTabs="0" xWindow="-120" yWindow="-120" windowWidth="29040" windowHeight="15720" tabRatio="1000" xr2:uid="{00000000-000D-0000-FFFF-FFFF00000000}"/>
  </bookViews>
  <sheets>
    <sheet name="Switchboard" sheetId="21" r:id="rId1"/>
    <sheet name="Previous Quarter" sheetId="15" state="hidden" r:id="rId2"/>
    <sheet name="Q1" sheetId="1" state="hidden" r:id="rId3"/>
    <sheet name="Q2" sheetId="28" state="hidden" r:id="rId4"/>
    <sheet name="Q3" sheetId="26" state="hidden" r:id="rId5"/>
    <sheet name="Q4" sheetId="27" state="hidden" r:id="rId6"/>
    <sheet name="YTD" sheetId="12" state="hidden" r:id="rId7"/>
    <sheet name="Base" sheetId="25" state="hidden" r:id="rId8"/>
    <sheet name="Data" sheetId="14" state="hidden" r:id="rId9"/>
    <sheet name="Overview" sheetId="22" r:id="rId10"/>
    <sheet name="Balance Sheet" sheetId="13" r:id="rId11"/>
    <sheet name="Income Statement" sheetId="16" r:id="rId12"/>
    <sheet name="Efficiency" sheetId="17" r:id="rId13"/>
    <sheet name="Credit" sheetId="18" r:id="rId14"/>
    <sheet name="Capital" sheetId="19" r:id="rId15"/>
    <sheet name="Loans &amp; Deposits Yield" sheetId="20" r:id="rId16"/>
    <sheet name="2026 Q2 Data" sheetId="23" r:id="rId17"/>
    <sheet name="2026 YTD" sheetId="24" r:id="rId18"/>
  </sheets>
  <externalReferences>
    <externalReference r:id="rId19"/>
    <externalReference r:id="rId20"/>
    <externalReference r:id="rId2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8" i="12" l="1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47" i="12"/>
  <c r="N33" i="12"/>
  <c r="J33" i="12"/>
  <c r="G33" i="12"/>
  <c r="F3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13" i="12"/>
  <c r="M7" i="23" l="1"/>
  <c r="M15" i="23"/>
  <c r="M21" i="23"/>
  <c r="M22" i="23"/>
  <c r="M26" i="23"/>
  <c r="K30" i="23"/>
  <c r="J30" i="23"/>
  <c r="I30" i="23"/>
  <c r="H30" i="23"/>
  <c r="G30" i="23"/>
  <c r="F30" i="23"/>
  <c r="E30" i="23"/>
  <c r="D30" i="23"/>
  <c r="C30" i="23"/>
  <c r="B30" i="23"/>
  <c r="J28" i="23"/>
  <c r="I28" i="23"/>
  <c r="H28" i="23"/>
  <c r="G28" i="23"/>
  <c r="F28" i="23"/>
  <c r="E28" i="23"/>
  <c r="D28" i="23"/>
  <c r="C28" i="23"/>
  <c r="B28" i="23"/>
  <c r="K24" i="23"/>
  <c r="J24" i="23"/>
  <c r="I24" i="23"/>
  <c r="H24" i="23"/>
  <c r="G24" i="23"/>
  <c r="F24" i="23"/>
  <c r="E24" i="23"/>
  <c r="D24" i="23"/>
  <c r="C24" i="23"/>
  <c r="B24" i="23"/>
  <c r="K23" i="23"/>
  <c r="J23" i="23"/>
  <c r="I23" i="23"/>
  <c r="H23" i="23"/>
  <c r="G23" i="23"/>
  <c r="F23" i="23"/>
  <c r="E23" i="23"/>
  <c r="D23" i="23"/>
  <c r="C23" i="23"/>
  <c r="B23" i="23"/>
  <c r="K19" i="23"/>
  <c r="J19" i="23"/>
  <c r="I19" i="23"/>
  <c r="H19" i="23"/>
  <c r="G19" i="23"/>
  <c r="F19" i="23"/>
  <c r="E19" i="23"/>
  <c r="D19" i="23"/>
  <c r="C19" i="23"/>
  <c r="B19" i="23"/>
  <c r="K18" i="23"/>
  <c r="J18" i="23"/>
  <c r="I18" i="23"/>
  <c r="H18" i="23"/>
  <c r="G18" i="23"/>
  <c r="F18" i="23"/>
  <c r="E18" i="23"/>
  <c r="D18" i="23"/>
  <c r="C18" i="23"/>
  <c r="B18" i="23"/>
  <c r="K17" i="23"/>
  <c r="J17" i="23"/>
  <c r="I17" i="23"/>
  <c r="H17" i="23"/>
  <c r="G17" i="23"/>
  <c r="F17" i="23"/>
  <c r="E17" i="23"/>
  <c r="D17" i="23"/>
  <c r="C17" i="23"/>
  <c r="B17" i="23"/>
  <c r="K13" i="23"/>
  <c r="J13" i="23"/>
  <c r="I13" i="23"/>
  <c r="H13" i="23"/>
  <c r="G13" i="23"/>
  <c r="F13" i="23"/>
  <c r="E13" i="23"/>
  <c r="D13" i="23"/>
  <c r="C13" i="23"/>
  <c r="B13" i="23"/>
  <c r="K11" i="23"/>
  <c r="J11" i="23"/>
  <c r="I11" i="23"/>
  <c r="H11" i="23"/>
  <c r="G11" i="23"/>
  <c r="F11" i="23"/>
  <c r="E11" i="23"/>
  <c r="D11" i="23"/>
  <c r="C11" i="23"/>
  <c r="B11" i="23"/>
  <c r="K10" i="23"/>
  <c r="J10" i="23"/>
  <c r="I10" i="23"/>
  <c r="H10" i="23"/>
  <c r="G10" i="23"/>
  <c r="F10" i="23"/>
  <c r="E10" i="23"/>
  <c r="D10" i="23"/>
  <c r="C10" i="23"/>
  <c r="B10" i="23"/>
  <c r="K9" i="23"/>
  <c r="J9" i="23"/>
  <c r="I9" i="23"/>
  <c r="H9" i="23"/>
  <c r="G9" i="23"/>
  <c r="F9" i="23"/>
  <c r="E9" i="23"/>
  <c r="D9" i="23"/>
  <c r="C9" i="23"/>
  <c r="B9" i="23"/>
  <c r="K6" i="23"/>
  <c r="J6" i="23"/>
  <c r="I6" i="23"/>
  <c r="H6" i="23"/>
  <c r="G6" i="23"/>
  <c r="F6" i="23"/>
  <c r="E6" i="23"/>
  <c r="D6" i="23"/>
  <c r="C6" i="23"/>
  <c r="B6" i="23"/>
  <c r="C5" i="23"/>
  <c r="D5" i="23"/>
  <c r="E5" i="23"/>
  <c r="F5" i="23"/>
  <c r="G5" i="23"/>
  <c r="H5" i="23"/>
  <c r="I5" i="23"/>
  <c r="J5" i="23"/>
  <c r="K5" i="23"/>
  <c r="B5" i="23"/>
  <c r="B76" i="14"/>
  <c r="B75" i="14"/>
  <c r="B74" i="14"/>
  <c r="B73" i="14"/>
  <c r="B72" i="14"/>
  <c r="B71" i="14"/>
  <c r="B70" i="14"/>
  <c r="B69" i="14"/>
  <c r="B68" i="14"/>
  <c r="B67" i="14"/>
  <c r="O31" i="14"/>
  <c r="O30" i="14"/>
  <c r="O29" i="14"/>
  <c r="O28" i="14"/>
  <c r="O27" i="14"/>
  <c r="O26" i="14"/>
  <c r="O25" i="14"/>
  <c r="O24" i="14"/>
  <c r="O36" i="14" s="1"/>
  <c r="O37" i="14" s="1"/>
  <c r="O23" i="14"/>
  <c r="O22" i="14"/>
  <c r="L99" i="12"/>
  <c r="K99" i="12"/>
  <c r="J99" i="12"/>
  <c r="I99" i="12"/>
  <c r="H99" i="12"/>
  <c r="G99" i="12"/>
  <c r="F99" i="12"/>
  <c r="E99" i="12"/>
  <c r="D99" i="12"/>
  <c r="C99" i="12"/>
  <c r="L98" i="12"/>
  <c r="K98" i="12"/>
  <c r="J98" i="12"/>
  <c r="I98" i="12"/>
  <c r="H98" i="12"/>
  <c r="G98" i="12"/>
  <c r="F98" i="12"/>
  <c r="E98" i="12"/>
  <c r="D98" i="12"/>
  <c r="C98" i="12"/>
  <c r="L95" i="12"/>
  <c r="K95" i="12"/>
  <c r="J95" i="12"/>
  <c r="I95" i="12"/>
  <c r="H95" i="12"/>
  <c r="G95" i="12"/>
  <c r="F95" i="12"/>
  <c r="E95" i="12"/>
  <c r="D95" i="12"/>
  <c r="C95" i="12"/>
  <c r="L81" i="12"/>
  <c r="K81" i="12"/>
  <c r="J81" i="12"/>
  <c r="I81" i="12"/>
  <c r="H81" i="12"/>
  <c r="G81" i="12"/>
  <c r="F81" i="12"/>
  <c r="E81" i="12"/>
  <c r="D81" i="12"/>
  <c r="C81" i="12"/>
  <c r="L80" i="12"/>
  <c r="K80" i="12"/>
  <c r="J80" i="12"/>
  <c r="I80" i="12"/>
  <c r="H80" i="12"/>
  <c r="G80" i="12"/>
  <c r="F80" i="12"/>
  <c r="E80" i="12"/>
  <c r="D80" i="12"/>
  <c r="C80" i="12"/>
  <c r="L74" i="12"/>
  <c r="K74" i="12"/>
  <c r="J74" i="12"/>
  <c r="I74" i="12"/>
  <c r="H74" i="12"/>
  <c r="G74" i="12"/>
  <c r="F74" i="12"/>
  <c r="E74" i="12"/>
  <c r="D74" i="12"/>
  <c r="C74" i="12"/>
  <c r="L73" i="12"/>
  <c r="K73" i="12"/>
  <c r="J73" i="12"/>
  <c r="I73" i="12"/>
  <c r="H73" i="12"/>
  <c r="G73" i="12"/>
  <c r="F73" i="12"/>
  <c r="E73" i="12"/>
  <c r="D73" i="12"/>
  <c r="C73" i="12"/>
  <c r="L72" i="12"/>
  <c r="K72" i="12"/>
  <c r="J72" i="12"/>
  <c r="I72" i="12"/>
  <c r="H72" i="12"/>
  <c r="G72" i="12"/>
  <c r="F72" i="12"/>
  <c r="E72" i="12"/>
  <c r="D72" i="12"/>
  <c r="C72" i="12"/>
  <c r="L71" i="12"/>
  <c r="K71" i="12"/>
  <c r="J71" i="12"/>
  <c r="I71" i="12"/>
  <c r="H71" i="12"/>
  <c r="G71" i="12"/>
  <c r="F71" i="12"/>
  <c r="E71" i="12"/>
  <c r="D71" i="12"/>
  <c r="C71" i="12"/>
  <c r="L70" i="12"/>
  <c r="K70" i="12"/>
  <c r="J70" i="12"/>
  <c r="I70" i="12"/>
  <c r="H70" i="12"/>
  <c r="G70" i="12"/>
  <c r="F70" i="12"/>
  <c r="E70" i="12"/>
  <c r="D70" i="12"/>
  <c r="C70" i="12"/>
  <c r="L69" i="12"/>
  <c r="K69" i="12"/>
  <c r="J69" i="12"/>
  <c r="I69" i="12"/>
  <c r="H69" i="12"/>
  <c r="G69" i="12"/>
  <c r="F69" i="12"/>
  <c r="E69" i="12"/>
  <c r="D69" i="12"/>
  <c r="C69" i="12"/>
  <c r="L68" i="12"/>
  <c r="K68" i="12"/>
  <c r="J68" i="12"/>
  <c r="I68" i="12"/>
  <c r="H68" i="12"/>
  <c r="G68" i="12"/>
  <c r="F68" i="12"/>
  <c r="E68" i="12"/>
  <c r="D68" i="12"/>
  <c r="C68" i="12"/>
  <c r="L65" i="12"/>
  <c r="K65" i="12"/>
  <c r="J65" i="12"/>
  <c r="I65" i="12"/>
  <c r="H65" i="12"/>
  <c r="G65" i="12"/>
  <c r="F65" i="12"/>
  <c r="E65" i="12"/>
  <c r="D65" i="12"/>
  <c r="C65" i="12"/>
  <c r="L64" i="12"/>
  <c r="K64" i="12"/>
  <c r="J64" i="12"/>
  <c r="I64" i="12"/>
  <c r="H64" i="12"/>
  <c r="G64" i="12"/>
  <c r="F64" i="12"/>
  <c r="E64" i="12"/>
  <c r="D64" i="12"/>
  <c r="C64" i="12"/>
  <c r="L63" i="12"/>
  <c r="J63" i="12"/>
  <c r="I63" i="12"/>
  <c r="G63" i="12"/>
  <c r="F63" i="12"/>
  <c r="E63" i="12"/>
  <c r="C63" i="12"/>
  <c r="L62" i="12"/>
  <c r="K62" i="12"/>
  <c r="J62" i="12"/>
  <c r="I62" i="12"/>
  <c r="H62" i="12"/>
  <c r="G62" i="12"/>
  <c r="F62" i="12"/>
  <c r="E62" i="12"/>
  <c r="D62" i="12"/>
  <c r="C62" i="12"/>
  <c r="L61" i="12"/>
  <c r="K61" i="12"/>
  <c r="J61" i="12"/>
  <c r="I61" i="12"/>
  <c r="H61" i="12"/>
  <c r="G61" i="12"/>
  <c r="F61" i="12"/>
  <c r="E61" i="12"/>
  <c r="D61" i="12"/>
  <c r="C61" i="12"/>
  <c r="L60" i="12"/>
  <c r="K60" i="12"/>
  <c r="J60" i="12"/>
  <c r="I60" i="12"/>
  <c r="H60" i="12"/>
  <c r="G60" i="12"/>
  <c r="F60" i="12"/>
  <c r="E60" i="12"/>
  <c r="D60" i="12"/>
  <c r="C60" i="12"/>
  <c r="L59" i="12"/>
  <c r="K59" i="12"/>
  <c r="J59" i="12"/>
  <c r="I59" i="12"/>
  <c r="H59" i="12"/>
  <c r="G59" i="12"/>
  <c r="F59" i="12"/>
  <c r="E59" i="12"/>
  <c r="D59" i="12"/>
  <c r="C59" i="12"/>
  <c r="L58" i="12"/>
  <c r="K58" i="12"/>
  <c r="I58" i="12"/>
  <c r="H58" i="12"/>
  <c r="G58" i="12"/>
  <c r="F58" i="12"/>
  <c r="E58" i="12"/>
  <c r="D58" i="12"/>
  <c r="C58" i="12"/>
  <c r="K53" i="12"/>
  <c r="J53" i="12"/>
  <c r="I53" i="12"/>
  <c r="H53" i="12"/>
  <c r="G53" i="12"/>
  <c r="F53" i="12"/>
  <c r="D53" i="12"/>
  <c r="C53" i="12"/>
  <c r="L52" i="12"/>
  <c r="K52" i="12"/>
  <c r="J52" i="12"/>
  <c r="I52" i="12"/>
  <c r="H52" i="12"/>
  <c r="G52" i="12"/>
  <c r="F52" i="12"/>
  <c r="E52" i="12"/>
  <c r="D52" i="12"/>
  <c r="C52" i="12"/>
  <c r="L50" i="12"/>
  <c r="K50" i="12"/>
  <c r="J50" i="12"/>
  <c r="I50" i="12"/>
  <c r="H50" i="12"/>
  <c r="G50" i="12"/>
  <c r="F50" i="12"/>
  <c r="E50" i="12"/>
  <c r="D50" i="12"/>
  <c r="C50" i="12"/>
  <c r="L49" i="12"/>
  <c r="K49" i="12"/>
  <c r="J49" i="12"/>
  <c r="I49" i="12"/>
  <c r="H49" i="12"/>
  <c r="G49" i="12"/>
  <c r="F49" i="12"/>
  <c r="E49" i="12"/>
  <c r="D49" i="12"/>
  <c r="C49" i="12"/>
  <c r="K48" i="12"/>
  <c r="J48" i="12"/>
  <c r="I48" i="12"/>
  <c r="G48" i="12"/>
  <c r="F48" i="12"/>
  <c r="E48" i="12"/>
  <c r="D48" i="12"/>
  <c r="C48" i="12"/>
  <c r="D47" i="12"/>
  <c r="E47" i="12"/>
  <c r="F47" i="12"/>
  <c r="G47" i="12"/>
  <c r="H47" i="12"/>
  <c r="I47" i="12"/>
  <c r="K47" i="12"/>
  <c r="L47" i="12"/>
  <c r="C47" i="12"/>
  <c r="L39" i="12"/>
  <c r="K39" i="12"/>
  <c r="J39" i="12"/>
  <c r="I39" i="12"/>
  <c r="H39" i="12"/>
  <c r="G39" i="12"/>
  <c r="F39" i="12"/>
  <c r="E39" i="12"/>
  <c r="D39" i="12"/>
  <c r="C39" i="12"/>
  <c r="K37" i="12"/>
  <c r="J37" i="12"/>
  <c r="I37" i="12"/>
  <c r="H37" i="12"/>
  <c r="G37" i="12"/>
  <c r="F37" i="12"/>
  <c r="E37" i="12"/>
  <c r="D37" i="12"/>
  <c r="C37" i="12"/>
  <c r="L33" i="12"/>
  <c r="K33" i="12"/>
  <c r="I33" i="12"/>
  <c r="H33" i="12"/>
  <c r="E33" i="12"/>
  <c r="D33" i="12"/>
  <c r="C33" i="12"/>
  <c r="L32" i="12"/>
  <c r="K32" i="12"/>
  <c r="J32" i="12"/>
  <c r="I32" i="12"/>
  <c r="H32" i="12"/>
  <c r="G32" i="12"/>
  <c r="F32" i="12"/>
  <c r="E32" i="12"/>
  <c r="D32" i="12"/>
  <c r="C32" i="12"/>
  <c r="L28" i="12"/>
  <c r="K28" i="12"/>
  <c r="J28" i="12"/>
  <c r="I28" i="12"/>
  <c r="H28" i="12"/>
  <c r="G28" i="12"/>
  <c r="F28" i="12"/>
  <c r="E28" i="12"/>
  <c r="D28" i="12"/>
  <c r="C28" i="12"/>
  <c r="L27" i="12"/>
  <c r="K27" i="12"/>
  <c r="J27" i="12"/>
  <c r="I27" i="12"/>
  <c r="H27" i="12"/>
  <c r="G27" i="12"/>
  <c r="F27" i="12"/>
  <c r="E27" i="12"/>
  <c r="D27" i="12"/>
  <c r="C27" i="12"/>
  <c r="L26" i="12"/>
  <c r="K26" i="12"/>
  <c r="J26" i="12"/>
  <c r="I26" i="12"/>
  <c r="H26" i="12"/>
  <c r="G26" i="12"/>
  <c r="F26" i="12"/>
  <c r="E26" i="12"/>
  <c r="D26" i="12"/>
  <c r="C26" i="12"/>
  <c r="L22" i="12"/>
  <c r="K22" i="12"/>
  <c r="J22" i="12"/>
  <c r="I22" i="12"/>
  <c r="H22" i="12"/>
  <c r="G22" i="12"/>
  <c r="F22" i="12"/>
  <c r="E22" i="12"/>
  <c r="D22" i="12"/>
  <c r="C22" i="12"/>
  <c r="L20" i="12"/>
  <c r="K20" i="12"/>
  <c r="J20" i="12"/>
  <c r="I20" i="12"/>
  <c r="H20" i="12"/>
  <c r="G20" i="12"/>
  <c r="F20" i="12"/>
  <c r="E20" i="12"/>
  <c r="D20" i="12"/>
  <c r="C20" i="12"/>
  <c r="L19" i="12"/>
  <c r="K19" i="12"/>
  <c r="J19" i="12"/>
  <c r="I19" i="12"/>
  <c r="H19" i="12"/>
  <c r="F19" i="12"/>
  <c r="E19" i="12"/>
  <c r="D19" i="12"/>
  <c r="C19" i="12"/>
  <c r="L18" i="12"/>
  <c r="K18" i="12"/>
  <c r="J18" i="12"/>
  <c r="I18" i="12"/>
  <c r="H18" i="12"/>
  <c r="G18" i="12"/>
  <c r="F18" i="12"/>
  <c r="E18" i="12"/>
  <c r="D18" i="12"/>
  <c r="C18" i="12"/>
  <c r="K15" i="12"/>
  <c r="I15" i="12"/>
  <c r="H15" i="12"/>
  <c r="G15" i="12"/>
  <c r="F15" i="12"/>
  <c r="E15" i="12"/>
  <c r="C15" i="12"/>
  <c r="D14" i="12"/>
  <c r="E14" i="12"/>
  <c r="F14" i="12"/>
  <c r="G14" i="12"/>
  <c r="I14" i="12"/>
  <c r="J14" i="12"/>
  <c r="K14" i="12"/>
  <c r="L14" i="12"/>
  <c r="K63" i="28"/>
  <c r="K63" i="12" s="1"/>
  <c r="H63" i="28"/>
  <c r="H63" i="12" s="1"/>
  <c r="E63" i="28"/>
  <c r="D63" i="28"/>
  <c r="D63" i="12" s="1"/>
  <c r="L72" i="28"/>
  <c r="E64" i="28"/>
  <c r="C59" i="28"/>
  <c r="J58" i="28"/>
  <c r="J58" i="12" s="1"/>
  <c r="L53" i="28"/>
  <c r="L53" i="12" s="1"/>
  <c r="L48" i="28"/>
  <c r="L48" i="12" s="1"/>
  <c r="H53" i="28"/>
  <c r="H48" i="28"/>
  <c r="H48" i="12" s="1"/>
  <c r="E53" i="28"/>
  <c r="E53" i="12" s="1"/>
  <c r="D53" i="28"/>
  <c r="J47" i="28" l="1"/>
  <c r="J47" i="12" s="1"/>
  <c r="C145" i="28"/>
  <c r="L126" i="28"/>
  <c r="K126" i="28"/>
  <c r="J126" i="28"/>
  <c r="I126" i="28"/>
  <c r="H126" i="28"/>
  <c r="H127" i="28" s="1"/>
  <c r="G126" i="28"/>
  <c r="F126" i="28"/>
  <c r="E126" i="28"/>
  <c r="D126" i="28"/>
  <c r="C126" i="28"/>
  <c r="L123" i="28"/>
  <c r="K123" i="28"/>
  <c r="J123" i="28"/>
  <c r="I123" i="28"/>
  <c r="H123" i="28"/>
  <c r="G123" i="28"/>
  <c r="F123" i="28"/>
  <c r="E123" i="28"/>
  <c r="D123" i="28"/>
  <c r="C123" i="28"/>
  <c r="L122" i="28"/>
  <c r="K122" i="28"/>
  <c r="J122" i="28"/>
  <c r="I122" i="28"/>
  <c r="I124" i="28" s="1"/>
  <c r="H122" i="28"/>
  <c r="G122" i="28"/>
  <c r="G124" i="28" s="1"/>
  <c r="F122" i="28"/>
  <c r="E122" i="28"/>
  <c r="D122" i="28"/>
  <c r="C122" i="28"/>
  <c r="M118" i="28"/>
  <c r="L118" i="28"/>
  <c r="K118" i="28"/>
  <c r="I118" i="28"/>
  <c r="H118" i="28"/>
  <c r="G118" i="28"/>
  <c r="F118" i="28"/>
  <c r="E118" i="28"/>
  <c r="D118" i="28"/>
  <c r="C118" i="28"/>
  <c r="L117" i="28"/>
  <c r="K117" i="28"/>
  <c r="I117" i="28"/>
  <c r="H117" i="28"/>
  <c r="G117" i="28"/>
  <c r="F117" i="28"/>
  <c r="E117" i="28"/>
  <c r="D117" i="28"/>
  <c r="D119" i="28" s="1"/>
  <c r="C117" i="28"/>
  <c r="L112" i="28"/>
  <c r="K112" i="28"/>
  <c r="I112" i="28"/>
  <c r="H112" i="28"/>
  <c r="G112" i="28"/>
  <c r="F112" i="28"/>
  <c r="E112" i="28"/>
  <c r="D112" i="28"/>
  <c r="C112" i="28"/>
  <c r="L111" i="28"/>
  <c r="K111" i="28"/>
  <c r="I111" i="28"/>
  <c r="H111" i="28"/>
  <c r="G111" i="28"/>
  <c r="F111" i="28"/>
  <c r="E111" i="28"/>
  <c r="D111" i="28"/>
  <c r="C111" i="28"/>
  <c r="M108" i="28"/>
  <c r="L108" i="28"/>
  <c r="K108" i="28"/>
  <c r="I108" i="28"/>
  <c r="H108" i="28"/>
  <c r="G108" i="28"/>
  <c r="F108" i="28"/>
  <c r="E108" i="28"/>
  <c r="D108" i="28"/>
  <c r="C108" i="28"/>
  <c r="E106" i="28"/>
  <c r="M105" i="28"/>
  <c r="M106" i="28" s="1"/>
  <c r="L105" i="28"/>
  <c r="K105" i="28"/>
  <c r="I105" i="28"/>
  <c r="H105" i="28"/>
  <c r="G105" i="28"/>
  <c r="F105" i="28"/>
  <c r="F106" i="28" s="1"/>
  <c r="E105" i="28"/>
  <c r="D105" i="28"/>
  <c r="C105" i="28"/>
  <c r="M104" i="28"/>
  <c r="L104" i="28"/>
  <c r="K104" i="28"/>
  <c r="I104" i="28"/>
  <c r="H104" i="28"/>
  <c r="H106" i="28" s="1"/>
  <c r="G104" i="28"/>
  <c r="F104" i="28"/>
  <c r="E104" i="28"/>
  <c r="D104" i="28"/>
  <c r="D106" i="28" s="1"/>
  <c r="C104" i="28"/>
  <c r="C106" i="28" s="1"/>
  <c r="L100" i="28"/>
  <c r="L113" i="28" s="1"/>
  <c r="K100" i="28"/>
  <c r="K120" i="28" s="1"/>
  <c r="J100" i="28"/>
  <c r="J120" i="28" s="1"/>
  <c r="I100" i="28"/>
  <c r="I120" i="28" s="1"/>
  <c r="H100" i="28"/>
  <c r="H120" i="28" s="1"/>
  <c r="G100" i="28"/>
  <c r="F100" i="28"/>
  <c r="F120" i="28" s="1"/>
  <c r="E100" i="28"/>
  <c r="E113" i="28" s="1"/>
  <c r="D100" i="28"/>
  <c r="D120" i="28" s="1"/>
  <c r="C100" i="28"/>
  <c r="C120" i="28" s="1"/>
  <c r="M99" i="28"/>
  <c r="M98" i="28"/>
  <c r="M111" i="28" s="1"/>
  <c r="M95" i="28"/>
  <c r="M91" i="28"/>
  <c r="M87" i="28"/>
  <c r="M86" i="28"/>
  <c r="M85" i="28" s="1"/>
  <c r="L85" i="28"/>
  <c r="K85" i="28"/>
  <c r="I85" i="28"/>
  <c r="H85" i="28"/>
  <c r="G85" i="28"/>
  <c r="E85" i="28"/>
  <c r="D85" i="28"/>
  <c r="C85" i="28"/>
  <c r="M84" i="28"/>
  <c r="M83" i="28"/>
  <c r="L82" i="28"/>
  <c r="K82" i="28"/>
  <c r="I82" i="28"/>
  <c r="H82" i="28"/>
  <c r="G82" i="28"/>
  <c r="F82" i="28"/>
  <c r="E82" i="28"/>
  <c r="D82" i="28"/>
  <c r="C82" i="28"/>
  <c r="M81" i="28"/>
  <c r="M80" i="28"/>
  <c r="M82" i="28" s="1"/>
  <c r="L76" i="28"/>
  <c r="K76" i="28"/>
  <c r="J76" i="28"/>
  <c r="I76" i="28"/>
  <c r="H76" i="28"/>
  <c r="G76" i="28"/>
  <c r="F76" i="28"/>
  <c r="E76" i="28"/>
  <c r="D76" i="28"/>
  <c r="C76" i="28"/>
  <c r="M75" i="28"/>
  <c r="M74" i="28"/>
  <c r="M73" i="28"/>
  <c r="M72" i="28"/>
  <c r="M71" i="28"/>
  <c r="M70" i="28"/>
  <c r="M69" i="28"/>
  <c r="M68" i="28"/>
  <c r="M67" i="28"/>
  <c r="M65" i="28"/>
  <c r="M64" i="28"/>
  <c r="M63" i="28"/>
  <c r="M62" i="28"/>
  <c r="M61" i="28"/>
  <c r="M60" i="28"/>
  <c r="M59" i="28"/>
  <c r="M58" i="28"/>
  <c r="L57" i="28"/>
  <c r="K57" i="28"/>
  <c r="J57" i="28"/>
  <c r="I57" i="28"/>
  <c r="H57" i="28"/>
  <c r="G57" i="28"/>
  <c r="F57" i="28"/>
  <c r="E57" i="28"/>
  <c r="D57" i="28"/>
  <c r="C57" i="28"/>
  <c r="M53" i="28"/>
  <c r="M52" i="28"/>
  <c r="L51" i="28"/>
  <c r="K51" i="28"/>
  <c r="J51" i="28"/>
  <c r="I51" i="28"/>
  <c r="H51" i="28"/>
  <c r="G51" i="28"/>
  <c r="F51" i="28"/>
  <c r="E51" i="28"/>
  <c r="D51" i="28"/>
  <c r="C51" i="28"/>
  <c r="M50" i="28"/>
  <c r="M49" i="28"/>
  <c r="M48" i="28"/>
  <c r="M47" i="28"/>
  <c r="C44" i="28"/>
  <c r="D44" i="28" s="1"/>
  <c r="E44" i="28" s="1"/>
  <c r="F44" i="28" s="1"/>
  <c r="G44" i="28" s="1"/>
  <c r="H44" i="28" s="1"/>
  <c r="I44" i="28" s="1"/>
  <c r="J44" i="28" s="1"/>
  <c r="K44" i="28" s="1"/>
  <c r="L44" i="28" s="1"/>
  <c r="M44" i="28" s="1"/>
  <c r="P42" i="28"/>
  <c r="P41" i="28"/>
  <c r="P40" i="28"/>
  <c r="M39" i="28"/>
  <c r="P38" i="28"/>
  <c r="L37" i="28"/>
  <c r="P36" i="28"/>
  <c r="P34" i="28"/>
  <c r="L34" i="28"/>
  <c r="K39" i="14" s="1"/>
  <c r="K34" i="28"/>
  <c r="K46" i="14" s="1"/>
  <c r="J34" i="28"/>
  <c r="I34" i="28"/>
  <c r="K44" i="14" s="1"/>
  <c r="H34" i="28"/>
  <c r="K40" i="14" s="1"/>
  <c r="G34" i="28"/>
  <c r="K47" i="14" s="1"/>
  <c r="F34" i="28"/>
  <c r="K42" i="14" s="1"/>
  <c r="E34" i="28"/>
  <c r="K45" i="14" s="1"/>
  <c r="D34" i="28"/>
  <c r="K43" i="14" s="1"/>
  <c r="C34" i="28"/>
  <c r="M33" i="28"/>
  <c r="P32" i="28"/>
  <c r="M32" i="28"/>
  <c r="P31" i="28"/>
  <c r="P30" i="28"/>
  <c r="P29" i="28"/>
  <c r="M28" i="28"/>
  <c r="P27" i="28"/>
  <c r="M27" i="28"/>
  <c r="P26" i="28"/>
  <c r="M26" i="28"/>
  <c r="P25" i="28"/>
  <c r="L25" i="28"/>
  <c r="K25" i="28"/>
  <c r="J25" i="28"/>
  <c r="I25" i="28"/>
  <c r="H25" i="28"/>
  <c r="G25" i="28"/>
  <c r="F25" i="28"/>
  <c r="E25" i="28"/>
  <c r="D25" i="28"/>
  <c r="C25" i="28"/>
  <c r="P24" i="28" s="1"/>
  <c r="P23" i="28"/>
  <c r="M22" i="28"/>
  <c r="B78" i="14" s="1"/>
  <c r="P21" i="28"/>
  <c r="M20" i="28"/>
  <c r="P19" i="28"/>
  <c r="M19" i="28"/>
  <c r="P18" i="28"/>
  <c r="M18" i="28"/>
  <c r="P17" i="28"/>
  <c r="L17" i="28"/>
  <c r="C40" i="14" s="1"/>
  <c r="K17" i="28"/>
  <c r="C46" i="14" s="1"/>
  <c r="J17" i="28"/>
  <c r="C39" i="14" s="1"/>
  <c r="I17" i="28"/>
  <c r="C43" i="14" s="1"/>
  <c r="H17" i="28"/>
  <c r="C41" i="14" s="1"/>
  <c r="G17" i="28"/>
  <c r="C47" i="14" s="1"/>
  <c r="F17" i="28"/>
  <c r="C45" i="14" s="1"/>
  <c r="E17" i="28"/>
  <c r="C44" i="14" s="1"/>
  <c r="D17" i="28"/>
  <c r="C42" i="14" s="1"/>
  <c r="C17" i="28"/>
  <c r="P15" i="28"/>
  <c r="M15" i="28"/>
  <c r="P14" i="28"/>
  <c r="M14" i="28"/>
  <c r="C8" i="22" s="1"/>
  <c r="P13" i="28"/>
  <c r="L13" i="28"/>
  <c r="K13" i="28"/>
  <c r="J13" i="28"/>
  <c r="I13" i="28"/>
  <c r="B43" i="14" s="1"/>
  <c r="H13" i="28"/>
  <c r="B41" i="14" s="1"/>
  <c r="G13" i="28"/>
  <c r="B47" i="14" s="1"/>
  <c r="F13" i="28"/>
  <c r="E13" i="28"/>
  <c r="D13" i="28"/>
  <c r="C13" i="28"/>
  <c r="D11" i="28"/>
  <c r="E11" i="28" s="1"/>
  <c r="F11" i="28" s="1"/>
  <c r="G11" i="28" s="1"/>
  <c r="H11" i="28" s="1"/>
  <c r="I11" i="28" s="1"/>
  <c r="J11" i="28" s="1"/>
  <c r="K11" i="28" s="1"/>
  <c r="L11" i="28" s="1"/>
  <c r="J54" i="28" l="1"/>
  <c r="I8" i="14" s="1"/>
  <c r="E68" i="14"/>
  <c r="H68" i="14"/>
  <c r="F66" i="28"/>
  <c r="M11" i="14"/>
  <c r="L106" i="28"/>
  <c r="F21" i="28"/>
  <c r="F23" i="28" s="1"/>
  <c r="B45" i="14"/>
  <c r="C66" i="28"/>
  <c r="M10" i="14"/>
  <c r="K66" i="28"/>
  <c r="M16" i="14"/>
  <c r="I54" i="28"/>
  <c r="I13" i="14" s="1"/>
  <c r="H73" i="14"/>
  <c r="E73" i="14"/>
  <c r="E66" i="28"/>
  <c r="E78" i="28" s="1"/>
  <c r="E79" i="28" s="1"/>
  <c r="M15" i="14"/>
  <c r="M57" i="28"/>
  <c r="C124" i="28"/>
  <c r="F113" i="28"/>
  <c r="H113" i="28"/>
  <c r="J21" i="28"/>
  <c r="J23" i="28" s="1"/>
  <c r="B39" i="14"/>
  <c r="P16" i="28"/>
  <c r="C38" i="14"/>
  <c r="K41" i="14"/>
  <c r="C54" i="28"/>
  <c r="I7" i="14" s="1"/>
  <c r="H67" i="14"/>
  <c r="E67" i="14"/>
  <c r="K145" i="28"/>
  <c r="H74" i="14"/>
  <c r="E74" i="14"/>
  <c r="C21" i="28"/>
  <c r="B38" i="14"/>
  <c r="K21" i="28"/>
  <c r="K23" i="28" s="1"/>
  <c r="B46" i="14"/>
  <c r="P33" i="28"/>
  <c r="K38" i="14"/>
  <c r="D145" i="28"/>
  <c r="H72" i="14"/>
  <c r="E72" i="14"/>
  <c r="L145" i="28"/>
  <c r="E69" i="14"/>
  <c r="H69" i="14"/>
  <c r="H66" i="28"/>
  <c r="H78" i="28" s="1"/>
  <c r="M9" i="14"/>
  <c r="D21" i="28"/>
  <c r="D140" i="28" s="1"/>
  <c r="B42" i="14"/>
  <c r="L21" i="28"/>
  <c r="B40" i="14"/>
  <c r="E145" i="28"/>
  <c r="H75" i="14"/>
  <c r="E75" i="14"/>
  <c r="I66" i="28"/>
  <c r="I78" i="28" s="1"/>
  <c r="M12" i="14"/>
  <c r="E21" i="28"/>
  <c r="B44" i="14"/>
  <c r="F54" i="28"/>
  <c r="I12" i="14" s="1"/>
  <c r="H71" i="14"/>
  <c r="E71" i="14"/>
  <c r="J66" i="28"/>
  <c r="J78" i="28" s="1"/>
  <c r="J79" i="28" s="1"/>
  <c r="M7" i="14"/>
  <c r="C119" i="28"/>
  <c r="L119" i="28"/>
  <c r="H145" i="28"/>
  <c r="H70" i="14"/>
  <c r="E70" i="14"/>
  <c r="D66" i="28"/>
  <c r="D78" i="28" s="1"/>
  <c r="M13" i="14"/>
  <c r="L66" i="28"/>
  <c r="L78" i="28" s="1"/>
  <c r="M8" i="14"/>
  <c r="G106" i="28"/>
  <c r="M100" i="28"/>
  <c r="M113" i="28" s="1"/>
  <c r="G127" i="28"/>
  <c r="M122" i="28"/>
  <c r="C20" i="22"/>
  <c r="G66" i="28"/>
  <c r="G78" i="28" s="1"/>
  <c r="M14" i="14"/>
  <c r="C18" i="22"/>
  <c r="M18" i="14"/>
  <c r="F18" i="14"/>
  <c r="G145" i="28"/>
  <c r="E76" i="14"/>
  <c r="H76" i="14"/>
  <c r="G54" i="28"/>
  <c r="I16" i="14" s="1"/>
  <c r="M51" i="28"/>
  <c r="M145" i="28" s="1"/>
  <c r="C19" i="22" s="1"/>
  <c r="O33" i="14"/>
  <c r="L78" i="14"/>
  <c r="C15" i="22"/>
  <c r="M78" i="14"/>
  <c r="C16" i="22"/>
  <c r="M17" i="28"/>
  <c r="K106" i="28"/>
  <c r="M37" i="28"/>
  <c r="K28" i="23"/>
  <c r="I106" i="28"/>
  <c r="K119" i="28"/>
  <c r="F78" i="28"/>
  <c r="F145" i="28"/>
  <c r="I127" i="28"/>
  <c r="E120" i="28"/>
  <c r="H124" i="28"/>
  <c r="J127" i="28"/>
  <c r="G120" i="28"/>
  <c r="G113" i="28"/>
  <c r="F124" i="28"/>
  <c r="C127" i="28"/>
  <c r="K127" i="28"/>
  <c r="L120" i="28"/>
  <c r="L127" i="28"/>
  <c r="E127" i="28"/>
  <c r="D127" i="28"/>
  <c r="D113" i="28"/>
  <c r="D124" i="28"/>
  <c r="L124" i="28"/>
  <c r="F127" i="28"/>
  <c r="E124" i="28"/>
  <c r="K124" i="28"/>
  <c r="M120" i="28"/>
  <c r="C21" i="22" s="1"/>
  <c r="J124" i="28"/>
  <c r="M123" i="28"/>
  <c r="M124" i="28" s="1"/>
  <c r="G119" i="28"/>
  <c r="F119" i="28"/>
  <c r="M76" i="28"/>
  <c r="I119" i="28"/>
  <c r="H119" i="28"/>
  <c r="C78" i="28"/>
  <c r="C79" i="28" s="1"/>
  <c r="K78" i="28"/>
  <c r="M66" i="28"/>
  <c r="E119" i="28"/>
  <c r="F79" i="28"/>
  <c r="K54" i="28"/>
  <c r="I14" i="14" s="1"/>
  <c r="L54" i="28"/>
  <c r="E54" i="28"/>
  <c r="I15" i="14" s="1"/>
  <c r="D54" i="28"/>
  <c r="M34" i="28"/>
  <c r="M25" i="28"/>
  <c r="C10" i="22" s="1"/>
  <c r="G21" i="28"/>
  <c r="G23" i="28" s="1"/>
  <c r="I21" i="28"/>
  <c r="I139" i="28" s="1"/>
  <c r="M13" i="28"/>
  <c r="P12" i="28"/>
  <c r="H21" i="28"/>
  <c r="H23" i="28" s="1"/>
  <c r="K140" i="28"/>
  <c r="I23" i="28"/>
  <c r="I140" i="28"/>
  <c r="L140" i="28"/>
  <c r="C139" i="28"/>
  <c r="K139" i="28"/>
  <c r="J140" i="28"/>
  <c r="E140" i="28"/>
  <c r="E139" i="28"/>
  <c r="E23" i="28"/>
  <c r="C23" i="28"/>
  <c r="P20" i="28"/>
  <c r="L23" i="28"/>
  <c r="L139" i="28"/>
  <c r="M117" i="28"/>
  <c r="M119" i="28" s="1"/>
  <c r="J145" i="28"/>
  <c r="H54" i="28"/>
  <c r="I113" i="28"/>
  <c r="F139" i="28"/>
  <c r="I145" i="28"/>
  <c r="M112" i="28"/>
  <c r="K113" i="28"/>
  <c r="C113" i="28"/>
  <c r="J29" i="28" l="1"/>
  <c r="G39" i="14"/>
  <c r="J24" i="14"/>
  <c r="D79" i="28"/>
  <c r="I11" i="14"/>
  <c r="K29" i="28"/>
  <c r="J28" i="14"/>
  <c r="G44" i="14"/>
  <c r="F29" i="28"/>
  <c r="G43" i="14"/>
  <c r="J30" i="14"/>
  <c r="D139" i="28"/>
  <c r="D23" i="28"/>
  <c r="M54" i="28"/>
  <c r="G38" i="14"/>
  <c r="J22" i="14"/>
  <c r="L29" i="28"/>
  <c r="J23" i="14"/>
  <c r="G40" i="14"/>
  <c r="I29" i="28"/>
  <c r="J29" i="14"/>
  <c r="G45" i="14"/>
  <c r="M21" i="28"/>
  <c r="M140" i="28" s="1"/>
  <c r="C13" i="22" s="1"/>
  <c r="L79" i="28"/>
  <c r="I9" i="14"/>
  <c r="J139" i="28"/>
  <c r="H79" i="28"/>
  <c r="I10" i="14"/>
  <c r="F140" i="28"/>
  <c r="H29" i="28"/>
  <c r="G41" i="14"/>
  <c r="J26" i="14"/>
  <c r="I79" i="28"/>
  <c r="E29" i="28"/>
  <c r="G46" i="14"/>
  <c r="J27" i="14"/>
  <c r="G79" i="28"/>
  <c r="C5" i="22"/>
  <c r="I18" i="14"/>
  <c r="B18" i="14"/>
  <c r="E78" i="14"/>
  <c r="C17" i="22"/>
  <c r="H78" i="14"/>
  <c r="C11" i="22"/>
  <c r="K49" i="14"/>
  <c r="C9" i="22"/>
  <c r="C49" i="14"/>
  <c r="C7" i="22"/>
  <c r="B49" i="14"/>
  <c r="G29" i="28"/>
  <c r="G47" i="14"/>
  <c r="J31" i="14"/>
  <c r="M78" i="28"/>
  <c r="M79" i="28" s="1"/>
  <c r="G139" i="28"/>
  <c r="K79" i="28"/>
  <c r="H139" i="28"/>
  <c r="G140" i="28"/>
  <c r="H140" i="28"/>
  <c r="P22" i="28"/>
  <c r="C29" i="28"/>
  <c r="M23" i="28"/>
  <c r="J38" i="14" l="1"/>
  <c r="F38" i="14"/>
  <c r="F22" i="14"/>
  <c r="M139" i="28"/>
  <c r="C14" i="22" s="1"/>
  <c r="H36" i="28"/>
  <c r="H38" i="28" s="1"/>
  <c r="H40" i="28" s="1"/>
  <c r="J40" i="14"/>
  <c r="F41" i="14"/>
  <c r="F27" i="14"/>
  <c r="K36" i="28"/>
  <c r="K38" i="28" s="1"/>
  <c r="K40" i="28" s="1"/>
  <c r="J46" i="14"/>
  <c r="F30" i="14"/>
  <c r="F44" i="14"/>
  <c r="D29" i="28"/>
  <c r="G42" i="14"/>
  <c r="J25" i="14"/>
  <c r="I36" i="28"/>
  <c r="I38" i="28" s="1"/>
  <c r="I40" i="28" s="1"/>
  <c r="J44" i="14"/>
  <c r="F45" i="14"/>
  <c r="F28" i="14"/>
  <c r="E36" i="28"/>
  <c r="E38" i="28" s="1"/>
  <c r="E40" i="28" s="1"/>
  <c r="F24" i="14"/>
  <c r="F46" i="14"/>
  <c r="J45" i="14"/>
  <c r="L36" i="28"/>
  <c r="L38" i="28" s="1"/>
  <c r="L40" i="28" s="1"/>
  <c r="F31" i="14"/>
  <c r="J39" i="14"/>
  <c r="F40" i="14"/>
  <c r="F25" i="14"/>
  <c r="F43" i="14"/>
  <c r="J42" i="14"/>
  <c r="F36" i="28"/>
  <c r="F38" i="28" s="1"/>
  <c r="F40" i="28" s="1"/>
  <c r="J36" i="28"/>
  <c r="J38" i="28" s="1"/>
  <c r="J40" i="28" s="1"/>
  <c r="J41" i="14"/>
  <c r="F39" i="14"/>
  <c r="F29" i="14"/>
  <c r="G36" i="28"/>
  <c r="G38" i="28" s="1"/>
  <c r="G40" i="28" s="1"/>
  <c r="J47" i="14"/>
  <c r="F47" i="14"/>
  <c r="F26" i="14"/>
  <c r="M29" i="28"/>
  <c r="G49" i="14"/>
  <c r="J33" i="14"/>
  <c r="C36" i="28"/>
  <c r="P28" i="28"/>
  <c r="C140" i="28"/>
  <c r="N16" i="15"/>
  <c r="N24" i="15"/>
  <c r="N30" i="15"/>
  <c r="N31" i="15"/>
  <c r="N35" i="15"/>
  <c r="D37" i="24"/>
  <c r="H37" i="24"/>
  <c r="E71" i="24"/>
  <c r="I71" i="24"/>
  <c r="C70" i="24"/>
  <c r="D70" i="24"/>
  <c r="G70" i="24"/>
  <c r="H70" i="24"/>
  <c r="K70" i="24"/>
  <c r="B70" i="24"/>
  <c r="D53" i="1"/>
  <c r="L72" i="1"/>
  <c r="L53" i="1"/>
  <c r="L15" i="1"/>
  <c r="L15" i="12" s="1"/>
  <c r="J82" i="1"/>
  <c r="J72" i="1"/>
  <c r="J53" i="1"/>
  <c r="J15" i="1"/>
  <c r="J15" i="12" s="1"/>
  <c r="D47" i="1"/>
  <c r="D15" i="1"/>
  <c r="D15" i="12" s="1"/>
  <c r="C72" i="1"/>
  <c r="C47" i="1"/>
  <c r="C14" i="1"/>
  <c r="C14" i="12" s="1"/>
  <c r="N70" i="1"/>
  <c r="F47" i="1"/>
  <c r="G37" i="24"/>
  <c r="H47" i="1"/>
  <c r="G47" i="1"/>
  <c r="D100" i="1"/>
  <c r="E100" i="1"/>
  <c r="F100" i="1"/>
  <c r="G100" i="1"/>
  <c r="H100" i="1"/>
  <c r="I100" i="1"/>
  <c r="J100" i="1"/>
  <c r="K100" i="1"/>
  <c r="L100" i="1"/>
  <c r="C100" i="1"/>
  <c r="N80" i="1"/>
  <c r="G19" i="1"/>
  <c r="G19" i="12" s="1"/>
  <c r="G13" i="1"/>
  <c r="H14" i="1"/>
  <c r="H14" i="12" s="1"/>
  <c r="K71" i="24"/>
  <c r="J71" i="24"/>
  <c r="H71" i="24"/>
  <c r="G71" i="24"/>
  <c r="F71" i="24"/>
  <c r="D71" i="24"/>
  <c r="C71" i="24"/>
  <c r="B71" i="24"/>
  <c r="B72" i="24" s="1"/>
  <c r="E70" i="24"/>
  <c r="F70" i="24"/>
  <c r="F72" i="24" s="1"/>
  <c r="I70" i="24"/>
  <c r="I72" i="24" s="1"/>
  <c r="J70" i="24"/>
  <c r="J72" i="24" s="1"/>
  <c r="K37" i="24"/>
  <c r="J37" i="24"/>
  <c r="I37" i="24"/>
  <c r="F37" i="24"/>
  <c r="E37" i="24"/>
  <c r="C37" i="24"/>
  <c r="B37" i="24"/>
  <c r="C51" i="27"/>
  <c r="C44" i="26"/>
  <c r="D76" i="25"/>
  <c r="D54" i="25"/>
  <c r="E54" i="25"/>
  <c r="F54" i="25"/>
  <c r="G54" i="25"/>
  <c r="H54" i="25"/>
  <c r="I54" i="25"/>
  <c r="J54" i="25"/>
  <c r="K54" i="25"/>
  <c r="L54" i="25"/>
  <c r="C54" i="25"/>
  <c r="H76" i="25"/>
  <c r="K76" i="25"/>
  <c r="I76" i="25"/>
  <c r="G76" i="25"/>
  <c r="F76" i="25"/>
  <c r="E76" i="25"/>
  <c r="C76" i="25"/>
  <c r="I66" i="25"/>
  <c r="D57" i="25"/>
  <c r="E57" i="25"/>
  <c r="F57" i="25"/>
  <c r="F66" i="25" s="1"/>
  <c r="G57" i="25"/>
  <c r="H57" i="25"/>
  <c r="I57" i="25"/>
  <c r="K57" i="25"/>
  <c r="K66" i="25" s="1"/>
  <c r="L57" i="25"/>
  <c r="L66" i="25" s="1"/>
  <c r="C57" i="25"/>
  <c r="C66" i="25" s="1"/>
  <c r="D51" i="25"/>
  <c r="E51" i="25"/>
  <c r="F51" i="25"/>
  <c r="G51" i="25"/>
  <c r="H51" i="25"/>
  <c r="I51" i="25"/>
  <c r="J51" i="25"/>
  <c r="K51" i="25"/>
  <c r="L51" i="25"/>
  <c r="C51" i="25"/>
  <c r="C44" i="25"/>
  <c r="M20" i="15"/>
  <c r="M19" i="15"/>
  <c r="M18" i="15"/>
  <c r="E128" i="15"/>
  <c r="E125" i="15"/>
  <c r="E124" i="15"/>
  <c r="E102" i="15"/>
  <c r="E122" i="15" s="1"/>
  <c r="E87" i="15"/>
  <c r="E84" i="15"/>
  <c r="E78" i="15"/>
  <c r="E57" i="15"/>
  <c r="E66" i="15" s="1"/>
  <c r="E51" i="15"/>
  <c r="E54" i="15" s="1"/>
  <c r="E34" i="15"/>
  <c r="E25" i="15"/>
  <c r="E17" i="15"/>
  <c r="E13" i="15"/>
  <c r="L76" i="25"/>
  <c r="D36" i="28" l="1"/>
  <c r="D38" i="28" s="1"/>
  <c r="D40" i="28" s="1"/>
  <c r="F23" i="14"/>
  <c r="J43" i="14"/>
  <c r="F42" i="14"/>
  <c r="L40" i="14"/>
  <c r="B24" i="14"/>
  <c r="B25" i="14"/>
  <c r="L41" i="14"/>
  <c r="L44" i="14"/>
  <c r="B28" i="14"/>
  <c r="L45" i="14"/>
  <c r="B29" i="14"/>
  <c r="B23" i="14"/>
  <c r="L39" i="14"/>
  <c r="L42" i="14"/>
  <c r="B26" i="14"/>
  <c r="D72" i="24"/>
  <c r="L46" i="14"/>
  <c r="B30" i="14"/>
  <c r="M36" i="28"/>
  <c r="C6" i="22"/>
  <c r="F49" i="14"/>
  <c r="F33" i="14"/>
  <c r="J49" i="14"/>
  <c r="B31" i="14"/>
  <c r="L47" i="14"/>
  <c r="G72" i="24"/>
  <c r="P35" i="28"/>
  <c r="C38" i="28"/>
  <c r="H72" i="24"/>
  <c r="C72" i="24"/>
  <c r="K72" i="24"/>
  <c r="E72" i="24"/>
  <c r="L70" i="24"/>
  <c r="L71" i="24"/>
  <c r="E126" i="15"/>
  <c r="J76" i="25"/>
  <c r="C78" i="25"/>
  <c r="M73" i="25"/>
  <c r="D66" i="25"/>
  <c r="G66" i="25"/>
  <c r="M69" i="25"/>
  <c r="H66" i="25"/>
  <c r="M60" i="25"/>
  <c r="M64" i="25"/>
  <c r="M70" i="25"/>
  <c r="M74" i="25"/>
  <c r="M62" i="25"/>
  <c r="M61" i="25"/>
  <c r="M65" i="25"/>
  <c r="M71" i="25"/>
  <c r="M68" i="25"/>
  <c r="M72" i="25"/>
  <c r="E129" i="15"/>
  <c r="E80" i="15"/>
  <c r="E81" i="15" s="1"/>
  <c r="E21" i="15"/>
  <c r="E23" i="15" s="1"/>
  <c r="E29" i="15" s="1"/>
  <c r="E36" i="15" s="1"/>
  <c r="E38" i="15" s="1"/>
  <c r="E40" i="15" s="1"/>
  <c r="H51" i="27"/>
  <c r="H54" i="27" s="1"/>
  <c r="H55" i="27" s="1"/>
  <c r="G51" i="27"/>
  <c r="G54" i="27" s="1"/>
  <c r="L25" i="27"/>
  <c r="C145" i="26"/>
  <c r="C44" i="27"/>
  <c r="H84" i="15"/>
  <c r="D34" i="15"/>
  <c r="F34" i="15"/>
  <c r="G34" i="15"/>
  <c r="H34" i="15"/>
  <c r="I34" i="15"/>
  <c r="J34" i="15"/>
  <c r="K34" i="15"/>
  <c r="L34" i="15"/>
  <c r="D25" i="15"/>
  <c r="F25" i="15"/>
  <c r="G25" i="15"/>
  <c r="H25" i="15"/>
  <c r="I25" i="15"/>
  <c r="J25" i="15"/>
  <c r="K25" i="15"/>
  <c r="L25" i="15"/>
  <c r="D17" i="15"/>
  <c r="F17" i="15"/>
  <c r="G17" i="15"/>
  <c r="H17" i="15"/>
  <c r="I17" i="15"/>
  <c r="J17" i="15"/>
  <c r="K17" i="15"/>
  <c r="L17" i="15"/>
  <c r="D13" i="15"/>
  <c r="F13" i="15"/>
  <c r="G13" i="15"/>
  <c r="H13" i="15"/>
  <c r="I13" i="15"/>
  <c r="J13" i="15"/>
  <c r="K13" i="15"/>
  <c r="L13" i="15"/>
  <c r="C13" i="15"/>
  <c r="F21" i="15" l="1"/>
  <c r="F23" i="15" s="1"/>
  <c r="F29" i="15" s="1"/>
  <c r="L43" i="14"/>
  <c r="B27" i="14"/>
  <c r="P37" i="28"/>
  <c r="C40" i="28"/>
  <c r="M38" i="28"/>
  <c r="M40" i="28" s="1"/>
  <c r="L72" i="24"/>
  <c r="M76" i="25"/>
  <c r="I51" i="12"/>
  <c r="I141" i="12" s="1"/>
  <c r="C57" i="12"/>
  <c r="J51" i="12"/>
  <c r="J141" i="12" s="1"/>
  <c r="G21" i="15"/>
  <c r="G23" i="15" s="1"/>
  <c r="G29" i="15" s="1"/>
  <c r="H51" i="12"/>
  <c r="H141" i="12" s="1"/>
  <c r="F51" i="12"/>
  <c r="F141" i="12" s="1"/>
  <c r="D51" i="12"/>
  <c r="D141" i="12" s="1"/>
  <c r="L51" i="12"/>
  <c r="L141" i="12" s="1"/>
  <c r="K51" i="12"/>
  <c r="K141" i="12" s="1"/>
  <c r="G51" i="12"/>
  <c r="G141" i="12" s="1"/>
  <c r="E51" i="12"/>
  <c r="E141" i="12" s="1"/>
  <c r="C51" i="12"/>
  <c r="H21" i="15"/>
  <c r="H23" i="15" s="1"/>
  <c r="H29" i="15" s="1"/>
  <c r="L21" i="15"/>
  <c r="L23" i="15" s="1"/>
  <c r="L29" i="15" s="1"/>
  <c r="D21" i="15"/>
  <c r="D23" i="15" s="1"/>
  <c r="D29" i="15" s="1"/>
  <c r="J21" i="15"/>
  <c r="J23" i="15" s="1"/>
  <c r="J29" i="15" s="1"/>
  <c r="K21" i="15"/>
  <c r="K23" i="15" s="1"/>
  <c r="K29" i="15" s="1"/>
  <c r="I21" i="15"/>
  <c r="I23" i="15" s="1"/>
  <c r="I29" i="15" s="1"/>
  <c r="P39" i="28" l="1"/>
  <c r="B22" i="14"/>
  <c r="L38" i="14"/>
  <c r="L49" i="14"/>
  <c r="B33" i="14"/>
  <c r="C12" i="22"/>
  <c r="C54" i="12"/>
  <c r="C141" i="12"/>
  <c r="E66" i="25"/>
  <c r="M63" i="25"/>
  <c r="N41" i="12" l="1"/>
  <c r="N42" i="12"/>
  <c r="N46" i="12"/>
  <c r="K25" i="1"/>
  <c r="F51" i="1"/>
  <c r="F54" i="1" s="1"/>
  <c r="C44" i="1"/>
  <c r="E25" i="1"/>
  <c r="D11" i="1"/>
  <c r="E11" i="1" s="1"/>
  <c r="F11" i="1" s="1"/>
  <c r="G11" i="1" s="1"/>
  <c r="H11" i="1" s="1"/>
  <c r="I11" i="1" s="1"/>
  <c r="J11" i="1" s="1"/>
  <c r="K11" i="1" s="1"/>
  <c r="L11" i="1" s="1"/>
  <c r="M11" i="1" s="1"/>
  <c r="M71" i="15"/>
  <c r="K51" i="27"/>
  <c r="D44" i="27"/>
  <c r="E44" i="27" s="1"/>
  <c r="F44" i="27" s="1"/>
  <c r="G44" i="27" s="1"/>
  <c r="H44" i="27" s="1"/>
  <c r="I44" i="27" s="1"/>
  <c r="J44" i="27" s="1"/>
  <c r="K44" i="27" s="1"/>
  <c r="L44" i="27" s="1"/>
  <c r="P13" i="26"/>
  <c r="P14" i="26"/>
  <c r="P15" i="26"/>
  <c r="P17" i="26"/>
  <c r="P18" i="26"/>
  <c r="P19" i="26"/>
  <c r="P21" i="26"/>
  <c r="P23" i="26"/>
  <c r="P25" i="26"/>
  <c r="P26" i="26"/>
  <c r="P27" i="26"/>
  <c r="P29" i="26"/>
  <c r="P30" i="26"/>
  <c r="P31" i="26"/>
  <c r="P32" i="26"/>
  <c r="P34" i="26"/>
  <c r="P36" i="26"/>
  <c r="P38" i="26"/>
  <c r="P40" i="26"/>
  <c r="P41" i="26"/>
  <c r="P42" i="26"/>
  <c r="D44" i="26" l="1"/>
  <c r="E44" i="26" s="1"/>
  <c r="F44" i="26" s="1"/>
  <c r="G44" i="26" s="1"/>
  <c r="H44" i="26" s="1"/>
  <c r="I44" i="26" s="1"/>
  <c r="J44" i="26" s="1"/>
  <c r="K44" i="26" s="1"/>
  <c r="L44" i="26" s="1"/>
  <c r="M44" i="26" s="1"/>
  <c r="C44" i="12" l="1"/>
  <c r="C135" i="12"/>
  <c r="C145" i="27"/>
  <c r="L126" i="27"/>
  <c r="K126" i="27"/>
  <c r="J126" i="27"/>
  <c r="I126" i="27"/>
  <c r="H126" i="27"/>
  <c r="G126" i="27"/>
  <c r="F126" i="27"/>
  <c r="E126" i="27"/>
  <c r="D126" i="27"/>
  <c r="C126" i="27"/>
  <c r="L123" i="27"/>
  <c r="K123" i="27"/>
  <c r="J123" i="27"/>
  <c r="I123" i="27"/>
  <c r="H123" i="27"/>
  <c r="G123" i="27"/>
  <c r="F123" i="27"/>
  <c r="E123" i="27"/>
  <c r="D123" i="27"/>
  <c r="C123" i="27"/>
  <c r="L122" i="27"/>
  <c r="K122" i="27"/>
  <c r="J122" i="27"/>
  <c r="I122" i="27"/>
  <c r="H122" i="27"/>
  <c r="G122" i="27"/>
  <c r="F122" i="27"/>
  <c r="E122" i="27"/>
  <c r="D122" i="27"/>
  <c r="C122" i="27"/>
  <c r="M118" i="27"/>
  <c r="L118" i="27"/>
  <c r="K118" i="27"/>
  <c r="I118" i="27"/>
  <c r="H118" i="27"/>
  <c r="G118" i="27"/>
  <c r="F118" i="27"/>
  <c r="E118" i="27"/>
  <c r="D118" i="27"/>
  <c r="C118" i="27"/>
  <c r="L117" i="27"/>
  <c r="K117" i="27"/>
  <c r="I117" i="27"/>
  <c r="G117" i="27"/>
  <c r="E117" i="27"/>
  <c r="D117" i="27"/>
  <c r="C117" i="27"/>
  <c r="L112" i="27"/>
  <c r="K112" i="27"/>
  <c r="I112" i="27"/>
  <c r="H112" i="27"/>
  <c r="G112" i="27"/>
  <c r="F112" i="27"/>
  <c r="E112" i="27"/>
  <c r="D112" i="27"/>
  <c r="C112" i="27"/>
  <c r="L111" i="27"/>
  <c r="K111" i="27"/>
  <c r="I111" i="27"/>
  <c r="H111" i="27"/>
  <c r="G111" i="27"/>
  <c r="F111" i="27"/>
  <c r="E111" i="27"/>
  <c r="D111" i="27"/>
  <c r="C111" i="27"/>
  <c r="M108" i="27"/>
  <c r="L108" i="27"/>
  <c r="K108" i="27"/>
  <c r="I108" i="27"/>
  <c r="H108" i="27"/>
  <c r="G108" i="27"/>
  <c r="F108" i="27"/>
  <c r="E108" i="27"/>
  <c r="D108" i="27"/>
  <c r="C108" i="27"/>
  <c r="M105" i="27"/>
  <c r="L105" i="27"/>
  <c r="K105" i="27"/>
  <c r="I105" i="27"/>
  <c r="H105" i="27"/>
  <c r="G105" i="27"/>
  <c r="F105" i="27"/>
  <c r="E105" i="27"/>
  <c r="D105" i="27"/>
  <c r="C105" i="27"/>
  <c r="M104" i="27"/>
  <c r="L104" i="27"/>
  <c r="K104" i="27"/>
  <c r="I104" i="27"/>
  <c r="H104" i="27"/>
  <c r="G104" i="27"/>
  <c r="F104" i="27"/>
  <c r="E104" i="27"/>
  <c r="D104" i="27"/>
  <c r="C104" i="27"/>
  <c r="L100" i="27"/>
  <c r="L113" i="27" s="1"/>
  <c r="K100" i="27"/>
  <c r="K120" i="27" s="1"/>
  <c r="J100" i="27"/>
  <c r="J120" i="27" s="1"/>
  <c r="I100" i="27"/>
  <c r="I120" i="27" s="1"/>
  <c r="H100" i="27"/>
  <c r="H120" i="27" s="1"/>
  <c r="G100" i="27"/>
  <c r="G113" i="27" s="1"/>
  <c r="F100" i="27"/>
  <c r="E100" i="27"/>
  <c r="D100" i="27"/>
  <c r="D120" i="27" s="1"/>
  <c r="C100" i="27"/>
  <c r="C120" i="27" s="1"/>
  <c r="M99" i="27"/>
  <c r="M98" i="27"/>
  <c r="M95" i="27"/>
  <c r="M91" i="27"/>
  <c r="M87" i="27"/>
  <c r="M86" i="27"/>
  <c r="M85" i="27" s="1"/>
  <c r="L85" i="27"/>
  <c r="K85" i="27"/>
  <c r="I85" i="27"/>
  <c r="H85" i="27"/>
  <c r="G85" i="27"/>
  <c r="E85" i="27"/>
  <c r="D85" i="27"/>
  <c r="C85" i="27"/>
  <c r="M84" i="27"/>
  <c r="M83" i="27"/>
  <c r="L82" i="27"/>
  <c r="K82" i="27"/>
  <c r="I82" i="27"/>
  <c r="H82" i="27"/>
  <c r="G82" i="27"/>
  <c r="F82" i="27"/>
  <c r="E82" i="27"/>
  <c r="D82" i="27"/>
  <c r="C82" i="27"/>
  <c r="M81" i="27"/>
  <c r="M80" i="27"/>
  <c r="K76" i="27"/>
  <c r="J76" i="27"/>
  <c r="I76" i="27"/>
  <c r="E76" i="27"/>
  <c r="D76" i="27"/>
  <c r="C76" i="27"/>
  <c r="M75" i="27"/>
  <c r="M74" i="27"/>
  <c r="M73" i="27"/>
  <c r="M72" i="27"/>
  <c r="G76" i="27"/>
  <c r="M70" i="27"/>
  <c r="M69" i="27"/>
  <c r="L76" i="27"/>
  <c r="H76" i="27"/>
  <c r="F76" i="27"/>
  <c r="M68" i="27"/>
  <c r="M67" i="27"/>
  <c r="M65" i="27"/>
  <c r="M64" i="27"/>
  <c r="M63" i="27"/>
  <c r="M62" i="27"/>
  <c r="M61" i="27"/>
  <c r="M60" i="27"/>
  <c r="M59" i="27"/>
  <c r="M58" i="27"/>
  <c r="L57" i="27"/>
  <c r="K57" i="27"/>
  <c r="K66" i="27" s="1"/>
  <c r="J57" i="27"/>
  <c r="I57" i="27"/>
  <c r="H57" i="27"/>
  <c r="G57" i="27"/>
  <c r="F57" i="27"/>
  <c r="E57" i="27"/>
  <c r="D57" i="27"/>
  <c r="C57" i="27"/>
  <c r="M53" i="27"/>
  <c r="M52" i="27"/>
  <c r="L51" i="27"/>
  <c r="J51" i="27"/>
  <c r="I51" i="27"/>
  <c r="F51" i="27"/>
  <c r="E51" i="27"/>
  <c r="D51" i="27"/>
  <c r="M50" i="27"/>
  <c r="M49" i="27"/>
  <c r="M48" i="27"/>
  <c r="M47" i="27"/>
  <c r="M39" i="27"/>
  <c r="L37" i="27"/>
  <c r="M37" i="27" s="1"/>
  <c r="L34" i="27"/>
  <c r="K34" i="27"/>
  <c r="J34" i="27"/>
  <c r="I34" i="27"/>
  <c r="G34" i="27"/>
  <c r="E34" i="27"/>
  <c r="D34" i="27"/>
  <c r="C34" i="27"/>
  <c r="M33" i="27"/>
  <c r="H34" i="27"/>
  <c r="F34" i="27"/>
  <c r="M28" i="27"/>
  <c r="D25" i="27"/>
  <c r="M26" i="27"/>
  <c r="K25" i="27"/>
  <c r="J25" i="27"/>
  <c r="I25" i="27"/>
  <c r="H25" i="27"/>
  <c r="G25" i="27"/>
  <c r="F25" i="27"/>
  <c r="E25" i="27"/>
  <c r="C25" i="27"/>
  <c r="M20" i="27"/>
  <c r="L17" i="27"/>
  <c r="M19" i="27"/>
  <c r="M18" i="27"/>
  <c r="K17" i="27"/>
  <c r="J17" i="27"/>
  <c r="I17" i="27"/>
  <c r="H17" i="27"/>
  <c r="G17" i="27"/>
  <c r="E17" i="27"/>
  <c r="D17" i="27"/>
  <c r="C17" i="27"/>
  <c r="M15" i="27"/>
  <c r="M14" i="27"/>
  <c r="L13" i="27"/>
  <c r="K13" i="27"/>
  <c r="J13" i="27"/>
  <c r="I13" i="27"/>
  <c r="H13" i="27"/>
  <c r="G13" i="27"/>
  <c r="F13" i="27"/>
  <c r="E13" i="27"/>
  <c r="D13" i="27"/>
  <c r="C13" i="27"/>
  <c r="D11" i="27"/>
  <c r="E11" i="27" s="1"/>
  <c r="F11" i="27" s="1"/>
  <c r="G11" i="27" s="1"/>
  <c r="H11" i="27" s="1"/>
  <c r="I11" i="27" s="1"/>
  <c r="J11" i="27" s="1"/>
  <c r="K11" i="27" s="1"/>
  <c r="L11" i="27" s="1"/>
  <c r="L126" i="26"/>
  <c r="K126" i="26"/>
  <c r="J126" i="26"/>
  <c r="I126" i="26"/>
  <c r="H126" i="26"/>
  <c r="G126" i="26"/>
  <c r="F126" i="26"/>
  <c r="E126" i="26"/>
  <c r="D126" i="26"/>
  <c r="C126" i="26"/>
  <c r="L123" i="26"/>
  <c r="K123" i="26"/>
  <c r="J123" i="26"/>
  <c r="I123" i="26"/>
  <c r="H123" i="26"/>
  <c r="G123" i="26"/>
  <c r="F123" i="26"/>
  <c r="E123" i="26"/>
  <c r="D123" i="26"/>
  <c r="C123" i="26"/>
  <c r="L122" i="26"/>
  <c r="K122" i="26"/>
  <c r="J122" i="26"/>
  <c r="I122" i="26"/>
  <c r="I124" i="26" s="1"/>
  <c r="H122" i="26"/>
  <c r="G122" i="26"/>
  <c r="F122" i="26"/>
  <c r="E122" i="26"/>
  <c r="D122" i="26"/>
  <c r="C122" i="26"/>
  <c r="M118" i="26"/>
  <c r="L118" i="26"/>
  <c r="K118" i="26"/>
  <c r="I118" i="26"/>
  <c r="H118" i="26"/>
  <c r="G118" i="26"/>
  <c r="F118" i="26"/>
  <c r="E118" i="26"/>
  <c r="D118" i="26"/>
  <c r="C118" i="26"/>
  <c r="K117" i="26"/>
  <c r="I117" i="26"/>
  <c r="G117" i="26"/>
  <c r="E117" i="26"/>
  <c r="C117" i="26"/>
  <c r="L112" i="26"/>
  <c r="K112" i="26"/>
  <c r="I112" i="26"/>
  <c r="H112" i="26"/>
  <c r="G112" i="26"/>
  <c r="F112" i="26"/>
  <c r="E112" i="26"/>
  <c r="D112" i="26"/>
  <c r="C112" i="26"/>
  <c r="L111" i="26"/>
  <c r="K111" i="26"/>
  <c r="I111" i="26"/>
  <c r="H111" i="26"/>
  <c r="G111" i="26"/>
  <c r="F111" i="26"/>
  <c r="E111" i="26"/>
  <c r="D111" i="26"/>
  <c r="C111" i="26"/>
  <c r="M108" i="26"/>
  <c r="L108" i="26"/>
  <c r="K108" i="26"/>
  <c r="I108" i="26"/>
  <c r="H108" i="26"/>
  <c r="G108" i="26"/>
  <c r="F108" i="26"/>
  <c r="E108" i="26"/>
  <c r="D108" i="26"/>
  <c r="C108" i="26"/>
  <c r="M105" i="26"/>
  <c r="L105" i="26"/>
  <c r="K105" i="26"/>
  <c r="I105" i="26"/>
  <c r="H105" i="26"/>
  <c r="G105" i="26"/>
  <c r="F105" i="26"/>
  <c r="E105" i="26"/>
  <c r="D105" i="26"/>
  <c r="C105" i="26"/>
  <c r="M104" i="26"/>
  <c r="L104" i="26"/>
  <c r="K104" i="26"/>
  <c r="I104" i="26"/>
  <c r="H104" i="26"/>
  <c r="G104" i="26"/>
  <c r="F104" i="26"/>
  <c r="E104" i="26"/>
  <c r="D104" i="26"/>
  <c r="C104" i="26"/>
  <c r="L100" i="26"/>
  <c r="L113" i="26" s="1"/>
  <c r="K100" i="26"/>
  <c r="K120" i="26" s="1"/>
  <c r="J100" i="26"/>
  <c r="J120" i="26" s="1"/>
  <c r="I100" i="26"/>
  <c r="H100" i="26"/>
  <c r="H120" i="26" s="1"/>
  <c r="G100" i="26"/>
  <c r="G113" i="26" s="1"/>
  <c r="F100" i="26"/>
  <c r="F120" i="26" s="1"/>
  <c r="E100" i="26"/>
  <c r="E120" i="26" s="1"/>
  <c r="D100" i="26"/>
  <c r="D113" i="26" s="1"/>
  <c r="C100" i="26"/>
  <c r="C120" i="26" s="1"/>
  <c r="M99" i="26"/>
  <c r="M112" i="26" s="1"/>
  <c r="M98" i="26"/>
  <c r="M95" i="26"/>
  <c r="M91" i="26"/>
  <c r="M87" i="26"/>
  <c r="M86" i="26"/>
  <c r="M85" i="26" s="1"/>
  <c r="L85" i="26"/>
  <c r="K85" i="26"/>
  <c r="I85" i="26"/>
  <c r="H85" i="26"/>
  <c r="G85" i="26"/>
  <c r="E85" i="26"/>
  <c r="D85" i="26"/>
  <c r="C85" i="26"/>
  <c r="M84" i="26"/>
  <c r="M83" i="26"/>
  <c r="L82" i="26"/>
  <c r="K82" i="26"/>
  <c r="I82" i="26"/>
  <c r="H82" i="26"/>
  <c r="G82" i="26"/>
  <c r="F82" i="26"/>
  <c r="E82" i="26"/>
  <c r="D82" i="26"/>
  <c r="C82" i="26"/>
  <c r="M81" i="26"/>
  <c r="M80" i="26"/>
  <c r="K76" i="26"/>
  <c r="I76" i="26"/>
  <c r="F76" i="26"/>
  <c r="E76" i="26"/>
  <c r="D76" i="26"/>
  <c r="C76" i="26"/>
  <c r="M75" i="26"/>
  <c r="M74" i="26"/>
  <c r="M73" i="26"/>
  <c r="M72" i="26"/>
  <c r="G76" i="26"/>
  <c r="M70" i="26"/>
  <c r="M69" i="26"/>
  <c r="L76" i="26"/>
  <c r="J76" i="26"/>
  <c r="H76" i="26"/>
  <c r="F117" i="26"/>
  <c r="D117" i="26"/>
  <c r="M67" i="26"/>
  <c r="M65" i="26"/>
  <c r="M64" i="26"/>
  <c r="M63" i="26"/>
  <c r="M62" i="26"/>
  <c r="M61" i="26"/>
  <c r="M60" i="26"/>
  <c r="M59" i="26"/>
  <c r="M58" i="26"/>
  <c r="L57" i="26"/>
  <c r="L66" i="26" s="1"/>
  <c r="K57" i="26"/>
  <c r="K66" i="26" s="1"/>
  <c r="J57" i="26"/>
  <c r="J66" i="26" s="1"/>
  <c r="I57" i="26"/>
  <c r="I66" i="26" s="1"/>
  <c r="H57" i="26"/>
  <c r="H66" i="26" s="1"/>
  <c r="G57" i="26"/>
  <c r="G66" i="26" s="1"/>
  <c r="F57" i="26"/>
  <c r="F66" i="26" s="1"/>
  <c r="E57" i="26"/>
  <c r="E66" i="26" s="1"/>
  <c r="D57" i="26"/>
  <c r="D66" i="26" s="1"/>
  <c r="C57" i="26"/>
  <c r="C66" i="26" s="1"/>
  <c r="M53" i="26"/>
  <c r="M52" i="26"/>
  <c r="K51" i="26"/>
  <c r="K145" i="26" s="1"/>
  <c r="I51" i="26"/>
  <c r="I145" i="26" s="1"/>
  <c r="H51" i="26"/>
  <c r="H145" i="26" s="1"/>
  <c r="G51" i="26"/>
  <c r="G145" i="26" s="1"/>
  <c r="F51" i="26"/>
  <c r="F145" i="26" s="1"/>
  <c r="E51" i="26"/>
  <c r="E145" i="26" s="1"/>
  <c r="D51" i="26"/>
  <c r="D145" i="26" s="1"/>
  <c r="C51" i="26"/>
  <c r="C54" i="26" s="1"/>
  <c r="L51" i="26"/>
  <c r="L54" i="26" s="1"/>
  <c r="J51" i="26"/>
  <c r="M50" i="26"/>
  <c r="M49" i="26"/>
  <c r="M48" i="26"/>
  <c r="M47" i="26"/>
  <c r="M39" i="26"/>
  <c r="L37" i="26"/>
  <c r="K34" i="26"/>
  <c r="J34" i="26"/>
  <c r="I34" i="26"/>
  <c r="G34" i="26"/>
  <c r="F34" i="26"/>
  <c r="E34" i="26"/>
  <c r="D34" i="26"/>
  <c r="C34" i="26"/>
  <c r="P33" i="26" s="1"/>
  <c r="H34" i="26"/>
  <c r="M33" i="26"/>
  <c r="M32" i="26"/>
  <c r="L34" i="26"/>
  <c r="M28" i="26"/>
  <c r="M27" i="26"/>
  <c r="M26" i="26"/>
  <c r="L25" i="26"/>
  <c r="K25" i="26"/>
  <c r="J25" i="26"/>
  <c r="I25" i="26"/>
  <c r="H25" i="26"/>
  <c r="G25" i="26"/>
  <c r="F25" i="26"/>
  <c r="E25" i="26"/>
  <c r="D25" i="26"/>
  <c r="C25" i="26"/>
  <c r="P24" i="26" s="1"/>
  <c r="M20" i="26"/>
  <c r="M19" i="26"/>
  <c r="M18" i="26"/>
  <c r="L17" i="26"/>
  <c r="K17" i="26"/>
  <c r="J17" i="26"/>
  <c r="I17" i="26"/>
  <c r="H17" i="26"/>
  <c r="G17" i="26"/>
  <c r="F17" i="26"/>
  <c r="E17" i="26"/>
  <c r="D17" i="26"/>
  <c r="C17" i="26"/>
  <c r="P16" i="26" s="1"/>
  <c r="M15" i="26"/>
  <c r="M14" i="26"/>
  <c r="L13" i="26"/>
  <c r="K13" i="26"/>
  <c r="J13" i="26"/>
  <c r="I13" i="26"/>
  <c r="H13" i="26"/>
  <c r="G13" i="26"/>
  <c r="F13" i="26"/>
  <c r="E13" i="26"/>
  <c r="D13" i="26"/>
  <c r="C13" i="26"/>
  <c r="P12" i="26" s="1"/>
  <c r="D11" i="26"/>
  <c r="E11" i="26" s="1"/>
  <c r="F11" i="26" s="1"/>
  <c r="G11" i="26" s="1"/>
  <c r="H11" i="26" s="1"/>
  <c r="I11" i="26" s="1"/>
  <c r="J11" i="26" s="1"/>
  <c r="K11" i="26" s="1"/>
  <c r="L11" i="26" s="1"/>
  <c r="N73" i="25"/>
  <c r="N60" i="25"/>
  <c r="M37" i="26" l="1"/>
  <c r="L37" i="12"/>
  <c r="E25" i="12"/>
  <c r="C106" i="27"/>
  <c r="I34" i="12"/>
  <c r="L127" i="26"/>
  <c r="D124" i="27"/>
  <c r="E13" i="12"/>
  <c r="G25" i="12"/>
  <c r="H25" i="12"/>
  <c r="G13" i="12"/>
  <c r="G34" i="12"/>
  <c r="J124" i="27"/>
  <c r="J34" i="12"/>
  <c r="J13" i="12"/>
  <c r="H13" i="12"/>
  <c r="C124" i="27"/>
  <c r="F13" i="12"/>
  <c r="D34" i="12"/>
  <c r="K124" i="27"/>
  <c r="K25" i="12"/>
  <c r="I25" i="12"/>
  <c r="J25" i="12"/>
  <c r="L124" i="26"/>
  <c r="E34" i="12"/>
  <c r="I13" i="12"/>
  <c r="L25" i="12"/>
  <c r="K13" i="12"/>
  <c r="G106" i="26"/>
  <c r="H124" i="26"/>
  <c r="D13" i="12"/>
  <c r="L13" i="12"/>
  <c r="K34" i="12"/>
  <c r="C106" i="26"/>
  <c r="D106" i="27"/>
  <c r="H106" i="26"/>
  <c r="I106" i="26"/>
  <c r="F106" i="26"/>
  <c r="K119" i="27"/>
  <c r="I127" i="26"/>
  <c r="I106" i="27"/>
  <c r="J21" i="26"/>
  <c r="J23" i="26" s="1"/>
  <c r="J29" i="26" s="1"/>
  <c r="J36" i="26" s="1"/>
  <c r="J38" i="26" s="1"/>
  <c r="J40" i="26" s="1"/>
  <c r="E106" i="27"/>
  <c r="L78" i="26"/>
  <c r="L79" i="26" s="1"/>
  <c r="K21" i="26"/>
  <c r="K23" i="26" s="1"/>
  <c r="K29" i="26" s="1"/>
  <c r="K36" i="26" s="1"/>
  <c r="K38" i="26" s="1"/>
  <c r="K40" i="26" s="1"/>
  <c r="M106" i="27"/>
  <c r="E124" i="27"/>
  <c r="D106" i="26"/>
  <c r="K106" i="26"/>
  <c r="G124" i="27"/>
  <c r="E106" i="26"/>
  <c r="F124" i="26"/>
  <c r="G106" i="27"/>
  <c r="H124" i="27"/>
  <c r="K106" i="27"/>
  <c r="G120" i="27"/>
  <c r="G119" i="27"/>
  <c r="G66" i="27"/>
  <c r="G78" i="27" s="1"/>
  <c r="G145" i="27"/>
  <c r="K127" i="27"/>
  <c r="K78" i="27"/>
  <c r="K145" i="27"/>
  <c r="H66" i="27"/>
  <c r="H78" i="27" s="1"/>
  <c r="F127" i="27"/>
  <c r="F66" i="27"/>
  <c r="F78" i="27" s="1"/>
  <c r="F54" i="27"/>
  <c r="L124" i="27"/>
  <c r="L66" i="27"/>
  <c r="L78" i="27" s="1"/>
  <c r="L54" i="27"/>
  <c r="L145" i="27"/>
  <c r="J66" i="27"/>
  <c r="J78" i="27" s="1"/>
  <c r="J145" i="27"/>
  <c r="D66" i="27"/>
  <c r="D78" i="27" s="1"/>
  <c r="D145" i="27"/>
  <c r="C127" i="27"/>
  <c r="C66" i="27"/>
  <c r="C78" i="27" s="1"/>
  <c r="C54" i="27"/>
  <c r="I124" i="27"/>
  <c r="M57" i="27"/>
  <c r="I66" i="27"/>
  <c r="I78" i="27" s="1"/>
  <c r="I145" i="27"/>
  <c r="M100" i="27"/>
  <c r="M113" i="27" s="1"/>
  <c r="E127" i="27"/>
  <c r="E66" i="27"/>
  <c r="E78" i="27" s="1"/>
  <c r="E145" i="27"/>
  <c r="M51" i="27"/>
  <c r="L106" i="26"/>
  <c r="K119" i="26"/>
  <c r="J78" i="26"/>
  <c r="L120" i="26"/>
  <c r="I54" i="26"/>
  <c r="H21" i="26"/>
  <c r="H23" i="26" s="1"/>
  <c r="H29" i="26" s="1"/>
  <c r="H36" i="26" s="1"/>
  <c r="H38" i="26" s="1"/>
  <c r="H40" i="26" s="1"/>
  <c r="I21" i="26"/>
  <c r="I139" i="26" s="1"/>
  <c r="L106" i="27"/>
  <c r="M106" i="26"/>
  <c r="E119" i="27"/>
  <c r="J21" i="27"/>
  <c r="J23" i="27" s="1"/>
  <c r="M122" i="27"/>
  <c r="F113" i="27"/>
  <c r="L119" i="27"/>
  <c r="H127" i="27"/>
  <c r="E119" i="26"/>
  <c r="D124" i="26"/>
  <c r="C21" i="27"/>
  <c r="K21" i="27"/>
  <c r="M123" i="27"/>
  <c r="D119" i="26"/>
  <c r="H106" i="27"/>
  <c r="F106" i="27"/>
  <c r="C119" i="27"/>
  <c r="J127" i="27"/>
  <c r="L120" i="27"/>
  <c r="M57" i="26"/>
  <c r="M82" i="26"/>
  <c r="I113" i="26"/>
  <c r="I120" i="26"/>
  <c r="M82" i="27"/>
  <c r="G124" i="26"/>
  <c r="G21" i="26"/>
  <c r="G23" i="26" s="1"/>
  <c r="G29" i="26" s="1"/>
  <c r="G36" i="26" s="1"/>
  <c r="G38" i="26" s="1"/>
  <c r="G40" i="26" s="1"/>
  <c r="F119" i="26"/>
  <c r="E124" i="26"/>
  <c r="D120" i="26"/>
  <c r="D127" i="26"/>
  <c r="D78" i="26"/>
  <c r="M51" i="26"/>
  <c r="M13" i="26"/>
  <c r="M17" i="26"/>
  <c r="C21" i="26"/>
  <c r="D127" i="27"/>
  <c r="D113" i="27"/>
  <c r="E120" i="27"/>
  <c r="E113" i="27"/>
  <c r="F120" i="27"/>
  <c r="I127" i="27"/>
  <c r="G127" i="27"/>
  <c r="L127" i="27"/>
  <c r="F124" i="27"/>
  <c r="D119" i="27"/>
  <c r="I119" i="27"/>
  <c r="I54" i="27"/>
  <c r="F145" i="27"/>
  <c r="L21" i="27"/>
  <c r="L23" i="27" s="1"/>
  <c r="L29" i="27" s="1"/>
  <c r="E21" i="27"/>
  <c r="G21" i="27"/>
  <c r="G23" i="27" s="1"/>
  <c r="D21" i="27"/>
  <c r="D23" i="27" s="1"/>
  <c r="M17" i="27"/>
  <c r="H21" i="27"/>
  <c r="H23" i="27" s="1"/>
  <c r="I21" i="27"/>
  <c r="M13" i="27"/>
  <c r="G120" i="26"/>
  <c r="C127" i="26"/>
  <c r="K127" i="26"/>
  <c r="E127" i="26"/>
  <c r="J124" i="26"/>
  <c r="G127" i="26"/>
  <c r="H127" i="26"/>
  <c r="M122" i="26"/>
  <c r="C124" i="26"/>
  <c r="K124" i="26"/>
  <c r="M123" i="26"/>
  <c r="E78" i="26"/>
  <c r="I119" i="26"/>
  <c r="C78" i="26"/>
  <c r="C79" i="26" s="1"/>
  <c r="F78" i="26"/>
  <c r="K78" i="26"/>
  <c r="C119" i="26"/>
  <c r="I78" i="26"/>
  <c r="G119" i="26"/>
  <c r="D54" i="26"/>
  <c r="K54" i="26"/>
  <c r="M25" i="26"/>
  <c r="E21" i="26"/>
  <c r="E23" i="26" s="1"/>
  <c r="E29" i="26" s="1"/>
  <c r="E36" i="26" s="1"/>
  <c r="E38" i="26" s="1"/>
  <c r="E40" i="26" s="1"/>
  <c r="F21" i="26"/>
  <c r="F23" i="26" s="1"/>
  <c r="F29" i="26" s="1"/>
  <c r="F36" i="26" s="1"/>
  <c r="F38" i="26" s="1"/>
  <c r="F40" i="26" s="1"/>
  <c r="D21" i="26"/>
  <c r="D139" i="26" s="1"/>
  <c r="L21" i="26"/>
  <c r="L140" i="26" s="1"/>
  <c r="M117" i="27"/>
  <c r="M119" i="27" s="1"/>
  <c r="M32" i="27"/>
  <c r="M34" i="27" s="1"/>
  <c r="J54" i="27"/>
  <c r="M111" i="27"/>
  <c r="H113" i="27"/>
  <c r="F117" i="27"/>
  <c r="F119" i="27" s="1"/>
  <c r="M22" i="27"/>
  <c r="F17" i="27"/>
  <c r="K54" i="27"/>
  <c r="I113" i="27"/>
  <c r="M71" i="27"/>
  <c r="M76" i="27" s="1"/>
  <c r="M27" i="27"/>
  <c r="M25" i="27" s="1"/>
  <c r="D54" i="27"/>
  <c r="M112" i="27"/>
  <c r="K113" i="27"/>
  <c r="H117" i="27"/>
  <c r="H119" i="27" s="1"/>
  <c r="E54" i="27"/>
  <c r="C113" i="27"/>
  <c r="J145" i="26"/>
  <c r="J54" i="26"/>
  <c r="L145" i="26"/>
  <c r="I23" i="26"/>
  <c r="I29" i="26" s="1"/>
  <c r="I36" i="26" s="1"/>
  <c r="I38" i="26" s="1"/>
  <c r="I40" i="26" s="1"/>
  <c r="G78" i="26"/>
  <c r="M34" i="26"/>
  <c r="H78" i="26"/>
  <c r="F54" i="26"/>
  <c r="F127" i="26"/>
  <c r="M22" i="26"/>
  <c r="G54" i="26"/>
  <c r="M71" i="26"/>
  <c r="E113" i="26"/>
  <c r="L117" i="26"/>
  <c r="L119" i="26" s="1"/>
  <c r="H54" i="26"/>
  <c r="M100" i="26"/>
  <c r="F113" i="26"/>
  <c r="M68" i="26"/>
  <c r="M111" i="26"/>
  <c r="H113" i="26"/>
  <c r="J127" i="26"/>
  <c r="K113" i="26"/>
  <c r="H117" i="26"/>
  <c r="H119" i="26" s="1"/>
  <c r="E54" i="26"/>
  <c r="C113" i="26"/>
  <c r="L126" i="25"/>
  <c r="K126" i="25"/>
  <c r="J126" i="25"/>
  <c r="I126" i="25"/>
  <c r="H126" i="25"/>
  <c r="G126" i="25"/>
  <c r="F126" i="25"/>
  <c r="E126" i="25"/>
  <c r="D126" i="25"/>
  <c r="C126" i="25"/>
  <c r="L123" i="25"/>
  <c r="K123" i="25"/>
  <c r="J123" i="25"/>
  <c r="I123" i="25"/>
  <c r="H123" i="25"/>
  <c r="G123" i="25"/>
  <c r="F123" i="25"/>
  <c r="E123" i="25"/>
  <c r="D123" i="25"/>
  <c r="C123" i="25"/>
  <c r="L122" i="25"/>
  <c r="K122" i="25"/>
  <c r="J122" i="25"/>
  <c r="I122" i="25"/>
  <c r="H122" i="25"/>
  <c r="G122" i="25"/>
  <c r="F122" i="25"/>
  <c r="E122" i="25"/>
  <c r="D122" i="25"/>
  <c r="C122" i="25"/>
  <c r="N121" i="25"/>
  <c r="M118" i="25"/>
  <c r="N118" i="25" s="1"/>
  <c r="L118" i="25"/>
  <c r="K118" i="25"/>
  <c r="J118" i="25"/>
  <c r="I118" i="25"/>
  <c r="H118" i="25"/>
  <c r="G118" i="25"/>
  <c r="E118" i="25"/>
  <c r="D118" i="25"/>
  <c r="C118" i="25"/>
  <c r="L117" i="25"/>
  <c r="K117" i="25"/>
  <c r="J117" i="25"/>
  <c r="H117" i="25"/>
  <c r="E117" i="25"/>
  <c r="C117" i="25"/>
  <c r="N116" i="25"/>
  <c r="N115" i="25"/>
  <c r="N114" i="25"/>
  <c r="L112" i="25"/>
  <c r="K112" i="25"/>
  <c r="J112" i="25"/>
  <c r="I112" i="25"/>
  <c r="H112" i="25"/>
  <c r="G112" i="25"/>
  <c r="E112" i="25"/>
  <c r="D112" i="25"/>
  <c r="C112" i="25"/>
  <c r="L111" i="25"/>
  <c r="K111" i="25"/>
  <c r="J111" i="25"/>
  <c r="I111" i="25"/>
  <c r="H111" i="25"/>
  <c r="G111" i="25"/>
  <c r="E111" i="25"/>
  <c r="D111" i="25"/>
  <c r="C111" i="25"/>
  <c r="N110" i="25"/>
  <c r="N109" i="25"/>
  <c r="M108" i="25"/>
  <c r="N108" i="25" s="1"/>
  <c r="L108" i="25"/>
  <c r="K108" i="25"/>
  <c r="J108" i="25"/>
  <c r="I108" i="25"/>
  <c r="H108" i="25"/>
  <c r="G108" i="25"/>
  <c r="E108" i="25"/>
  <c r="D108" i="25"/>
  <c r="C108" i="25"/>
  <c r="N107" i="25"/>
  <c r="M105" i="25"/>
  <c r="N105" i="25" s="1"/>
  <c r="L105" i="25"/>
  <c r="K105" i="25"/>
  <c r="J105" i="25"/>
  <c r="I105" i="25"/>
  <c r="H105" i="25"/>
  <c r="G105" i="25"/>
  <c r="E105" i="25"/>
  <c r="D105" i="25"/>
  <c r="C105" i="25"/>
  <c r="M104" i="25"/>
  <c r="L104" i="25"/>
  <c r="K104" i="25"/>
  <c r="J104" i="25"/>
  <c r="I104" i="25"/>
  <c r="H104" i="25"/>
  <c r="G104" i="25"/>
  <c r="E104" i="25"/>
  <c r="D104" i="25"/>
  <c r="C104" i="25"/>
  <c r="N103" i="25"/>
  <c r="N102" i="25"/>
  <c r="N101" i="25"/>
  <c r="L100" i="25"/>
  <c r="K100" i="25"/>
  <c r="K120" i="25" s="1"/>
  <c r="J100" i="25"/>
  <c r="J113" i="25" s="1"/>
  <c r="I100" i="25"/>
  <c r="I120" i="25" s="1"/>
  <c r="H100" i="25"/>
  <c r="H120" i="25" s="1"/>
  <c r="G100" i="25"/>
  <c r="G120" i="25" s="1"/>
  <c r="F100" i="25"/>
  <c r="F120" i="25" s="1"/>
  <c r="E100" i="25"/>
  <c r="D100" i="25"/>
  <c r="C100" i="25"/>
  <c r="C120" i="25" s="1"/>
  <c r="M99" i="25"/>
  <c r="M112" i="25" s="1"/>
  <c r="N112" i="25" s="1"/>
  <c r="M98" i="25"/>
  <c r="M111" i="25" s="1"/>
  <c r="N111" i="25" s="1"/>
  <c r="N97" i="25"/>
  <c r="N96" i="25"/>
  <c r="M95" i="25"/>
  <c r="N95" i="25" s="1"/>
  <c r="N94" i="25"/>
  <c r="N93" i="25"/>
  <c r="N92" i="25"/>
  <c r="M91" i="25"/>
  <c r="N91" i="25" s="1"/>
  <c r="N90" i="25"/>
  <c r="N89" i="25"/>
  <c r="N88" i="25"/>
  <c r="M87" i="25"/>
  <c r="N87" i="25" s="1"/>
  <c r="M86" i="25"/>
  <c r="N86" i="25" s="1"/>
  <c r="L85" i="25"/>
  <c r="K85" i="25"/>
  <c r="I85" i="25"/>
  <c r="H85" i="25"/>
  <c r="G85" i="25"/>
  <c r="E85" i="25"/>
  <c r="D85" i="25"/>
  <c r="C85" i="25"/>
  <c r="M84" i="25"/>
  <c r="N84" i="25" s="1"/>
  <c r="M83" i="25"/>
  <c r="N83" i="25" s="1"/>
  <c r="L82" i="25"/>
  <c r="K82" i="25"/>
  <c r="J82" i="25"/>
  <c r="I82" i="25"/>
  <c r="H82" i="25"/>
  <c r="G82" i="25"/>
  <c r="F82" i="25"/>
  <c r="E82" i="25"/>
  <c r="D82" i="25"/>
  <c r="C82" i="25"/>
  <c r="M81" i="25"/>
  <c r="N81" i="25" s="1"/>
  <c r="M80" i="25"/>
  <c r="N80" i="25" s="1"/>
  <c r="N77" i="25"/>
  <c r="M75" i="25"/>
  <c r="N75" i="25" s="1"/>
  <c r="I117" i="25"/>
  <c r="M67" i="25"/>
  <c r="N67" i="25" s="1"/>
  <c r="L78" i="25"/>
  <c r="K78" i="25"/>
  <c r="I78" i="25"/>
  <c r="H78" i="25"/>
  <c r="G78" i="25"/>
  <c r="F78" i="25"/>
  <c r="E78" i="25"/>
  <c r="D78" i="25"/>
  <c r="M59" i="25"/>
  <c r="N59" i="25" s="1"/>
  <c r="N56" i="25"/>
  <c r="N55" i="25"/>
  <c r="M53" i="25"/>
  <c r="N53" i="25" s="1"/>
  <c r="M52" i="25"/>
  <c r="M50" i="25"/>
  <c r="N50" i="25" s="1"/>
  <c r="M49" i="25"/>
  <c r="J145" i="25"/>
  <c r="G145" i="25"/>
  <c r="F145" i="25"/>
  <c r="M48" i="25"/>
  <c r="N48" i="25" s="1"/>
  <c r="M47" i="25"/>
  <c r="N47" i="25" s="1"/>
  <c r="D44" i="25"/>
  <c r="E44" i="25" s="1"/>
  <c r="M39" i="25"/>
  <c r="N39" i="25" s="1"/>
  <c r="M37" i="25"/>
  <c r="N37" i="25" s="1"/>
  <c r="N35" i="25"/>
  <c r="L34" i="25"/>
  <c r="K34" i="25"/>
  <c r="J34" i="25"/>
  <c r="H34" i="25"/>
  <c r="F34" i="25"/>
  <c r="M33" i="25"/>
  <c r="N33" i="25" s="1"/>
  <c r="I34" i="25"/>
  <c r="G34" i="25"/>
  <c r="E34" i="25"/>
  <c r="D34" i="25"/>
  <c r="C34" i="25"/>
  <c r="N31" i="25"/>
  <c r="N30" i="25"/>
  <c r="M28" i="25"/>
  <c r="N28" i="25" s="1"/>
  <c r="M27" i="25"/>
  <c r="N27" i="25" s="1"/>
  <c r="M26" i="25"/>
  <c r="N26" i="25" s="1"/>
  <c r="L25" i="25"/>
  <c r="K25" i="25"/>
  <c r="J25" i="25"/>
  <c r="I25" i="25"/>
  <c r="H25" i="25"/>
  <c r="G25" i="25"/>
  <c r="F25" i="25"/>
  <c r="E25" i="25"/>
  <c r="D25" i="25"/>
  <c r="C25" i="25"/>
  <c r="N24" i="25"/>
  <c r="M20" i="25"/>
  <c r="N20" i="25" s="1"/>
  <c r="M19" i="25"/>
  <c r="N19" i="25" s="1"/>
  <c r="E17" i="25"/>
  <c r="L17" i="25"/>
  <c r="K17" i="25"/>
  <c r="J17" i="25"/>
  <c r="I17" i="25"/>
  <c r="F17" i="25"/>
  <c r="C17" i="25"/>
  <c r="N16" i="25"/>
  <c r="M15" i="25"/>
  <c r="M14" i="25"/>
  <c r="N14" i="25" s="1"/>
  <c r="L13" i="25"/>
  <c r="K13" i="25"/>
  <c r="J13" i="25"/>
  <c r="I13" i="25"/>
  <c r="H13" i="25"/>
  <c r="G13" i="25"/>
  <c r="F13" i="25"/>
  <c r="E13" i="25"/>
  <c r="D13" i="25"/>
  <c r="C13" i="25"/>
  <c r="D11" i="25"/>
  <c r="E11" i="25" s="1"/>
  <c r="N52" i="25" l="1"/>
  <c r="M54" i="25"/>
  <c r="E79" i="27"/>
  <c r="M58" i="25"/>
  <c r="M57" i="25" s="1"/>
  <c r="M66" i="25" s="1"/>
  <c r="J57" i="25"/>
  <c r="J66" i="25" s="1"/>
  <c r="J78" i="25" s="1"/>
  <c r="N49" i="25"/>
  <c r="M51" i="25"/>
  <c r="C110" i="14"/>
  <c r="G110" i="14"/>
  <c r="L79" i="27"/>
  <c r="C124" i="25"/>
  <c r="K124" i="25"/>
  <c r="K21" i="25"/>
  <c r="K23" i="25" s="1"/>
  <c r="K29" i="25" s="1"/>
  <c r="K36" i="25" s="1"/>
  <c r="K38" i="25" s="1"/>
  <c r="K40" i="25" s="1"/>
  <c r="L139" i="26"/>
  <c r="I124" i="25"/>
  <c r="I140" i="26"/>
  <c r="G140" i="27"/>
  <c r="J140" i="27"/>
  <c r="J79" i="26"/>
  <c r="H140" i="26"/>
  <c r="C23" i="26"/>
  <c r="P22" i="26" s="1"/>
  <c r="P20" i="26"/>
  <c r="H139" i="26"/>
  <c r="C79" i="25"/>
  <c r="M100" i="25"/>
  <c r="N100" i="25" s="1"/>
  <c r="H106" i="25"/>
  <c r="H124" i="25"/>
  <c r="G140" i="26"/>
  <c r="M66" i="26"/>
  <c r="J106" i="25"/>
  <c r="J139" i="26"/>
  <c r="M54" i="26"/>
  <c r="J124" i="25"/>
  <c r="J21" i="25"/>
  <c r="J23" i="25" s="1"/>
  <c r="J29" i="25" s="1"/>
  <c r="J36" i="25" s="1"/>
  <c r="J38" i="25" s="1"/>
  <c r="J40" i="25" s="1"/>
  <c r="J140" i="26"/>
  <c r="K139" i="26"/>
  <c r="K140" i="26"/>
  <c r="C21" i="25"/>
  <c r="C23" i="25" s="1"/>
  <c r="C29" i="25" s="1"/>
  <c r="C139" i="25" s="1"/>
  <c r="D124" i="25"/>
  <c r="L21" i="25"/>
  <c r="L23" i="25" s="1"/>
  <c r="L29" i="25" s="1"/>
  <c r="L36" i="25" s="1"/>
  <c r="L38" i="25" s="1"/>
  <c r="L40" i="25" s="1"/>
  <c r="E145" i="25"/>
  <c r="D106" i="25"/>
  <c r="J119" i="25"/>
  <c r="D79" i="26"/>
  <c r="K119" i="25"/>
  <c r="G79" i="27"/>
  <c r="G29" i="27"/>
  <c r="K140" i="27"/>
  <c r="K23" i="27"/>
  <c r="H140" i="27"/>
  <c r="H29" i="27"/>
  <c r="F79" i="27"/>
  <c r="F21" i="27"/>
  <c r="F23" i="27" s="1"/>
  <c r="F29" i="27" s="1"/>
  <c r="M145" i="27"/>
  <c r="J79" i="27"/>
  <c r="J29" i="27"/>
  <c r="D140" i="27"/>
  <c r="D29" i="27"/>
  <c r="M66" i="27"/>
  <c r="M78" i="27" s="1"/>
  <c r="C79" i="27"/>
  <c r="C23" i="27"/>
  <c r="C29" i="27" s="1"/>
  <c r="M120" i="27"/>
  <c r="I79" i="27"/>
  <c r="M124" i="27"/>
  <c r="H79" i="26"/>
  <c r="I79" i="26"/>
  <c r="L23" i="26"/>
  <c r="L29" i="26" s="1"/>
  <c r="L36" i="26" s="1"/>
  <c r="L38" i="26" s="1"/>
  <c r="L40" i="26" s="1"/>
  <c r="M106" i="25"/>
  <c r="N106" i="25" s="1"/>
  <c r="I106" i="25"/>
  <c r="C139" i="26"/>
  <c r="E119" i="25"/>
  <c r="G127" i="25"/>
  <c r="M13" i="25"/>
  <c r="N13" i="25" s="1"/>
  <c r="N99" i="25"/>
  <c r="K106" i="25"/>
  <c r="H127" i="25"/>
  <c r="G17" i="25"/>
  <c r="G21" i="25" s="1"/>
  <c r="G23" i="25" s="1"/>
  <c r="G29" i="25" s="1"/>
  <c r="G139" i="25" s="1"/>
  <c r="E106" i="25"/>
  <c r="C106" i="25"/>
  <c r="L106" i="25"/>
  <c r="L124" i="25"/>
  <c r="I127" i="25"/>
  <c r="I23" i="27"/>
  <c r="I21" i="25"/>
  <c r="I23" i="25" s="1"/>
  <c r="I29" i="25" s="1"/>
  <c r="I139" i="25" s="1"/>
  <c r="G106" i="25"/>
  <c r="G124" i="25"/>
  <c r="E124" i="25"/>
  <c r="K79" i="27"/>
  <c r="I140" i="27"/>
  <c r="G139" i="26"/>
  <c r="F79" i="26"/>
  <c r="F140" i="26"/>
  <c r="E79" i="26"/>
  <c r="E139" i="26"/>
  <c r="E140" i="26"/>
  <c r="M124" i="26"/>
  <c r="M145" i="26"/>
  <c r="D140" i="26"/>
  <c r="D23" i="26"/>
  <c r="D29" i="26" s="1"/>
  <c r="D36" i="26" s="1"/>
  <c r="D38" i="26" s="1"/>
  <c r="D40" i="26" s="1"/>
  <c r="D79" i="27"/>
  <c r="E140" i="27"/>
  <c r="E23" i="27"/>
  <c r="L140" i="27"/>
  <c r="K79" i="26"/>
  <c r="G79" i="26"/>
  <c r="M21" i="26"/>
  <c r="M140" i="26" s="1"/>
  <c r="F139" i="26"/>
  <c r="M76" i="26"/>
  <c r="M117" i="26"/>
  <c r="M119" i="26" s="1"/>
  <c r="M113" i="26"/>
  <c r="M120" i="26"/>
  <c r="N104" i="25"/>
  <c r="K113" i="25"/>
  <c r="D17" i="25"/>
  <c r="D21" i="25" s="1"/>
  <c r="D23" i="25" s="1"/>
  <c r="D29" i="25" s="1"/>
  <c r="M18" i="25"/>
  <c r="N18" i="25" s="1"/>
  <c r="M22" i="25"/>
  <c r="N22" i="25" s="1"/>
  <c r="M82" i="25"/>
  <c r="N82" i="25" s="1"/>
  <c r="L119" i="25"/>
  <c r="J127" i="25"/>
  <c r="C127" i="25"/>
  <c r="K127" i="25"/>
  <c r="J120" i="25"/>
  <c r="K79" i="25"/>
  <c r="L79" i="25"/>
  <c r="E21" i="25"/>
  <c r="E23" i="25" s="1"/>
  <c r="E29" i="25" s="1"/>
  <c r="E36" i="25" s="1"/>
  <c r="E38" i="25" s="1"/>
  <c r="E40" i="25" s="1"/>
  <c r="M25" i="25"/>
  <c r="N25" i="25" s="1"/>
  <c r="E79" i="25"/>
  <c r="C119" i="25"/>
  <c r="M122" i="25"/>
  <c r="N122" i="25" s="1"/>
  <c r="F21" i="25"/>
  <c r="F23" i="25" s="1"/>
  <c r="F29" i="25" s="1"/>
  <c r="F36" i="25" s="1"/>
  <c r="F38" i="25" s="1"/>
  <c r="F40" i="25" s="1"/>
  <c r="C113" i="25"/>
  <c r="F124" i="25"/>
  <c r="M32" i="25"/>
  <c r="N32" i="25" s="1"/>
  <c r="M85" i="25"/>
  <c r="N85" i="25" s="1"/>
  <c r="M123" i="25"/>
  <c r="N123" i="25" s="1"/>
  <c r="I113" i="25"/>
  <c r="H119" i="25"/>
  <c r="G11" i="25"/>
  <c r="H11" i="25" s="1"/>
  <c r="I11" i="25" s="1"/>
  <c r="F11" i="25"/>
  <c r="H17" i="25"/>
  <c r="H21" i="25" s="1"/>
  <c r="H23" i="25" s="1"/>
  <c r="H29" i="25" s="1"/>
  <c r="H36" i="25" s="1"/>
  <c r="H38" i="25" s="1"/>
  <c r="H40" i="25" s="1"/>
  <c r="G44" i="25"/>
  <c r="H44" i="25" s="1"/>
  <c r="I44" i="25" s="1"/>
  <c r="J44" i="25" s="1"/>
  <c r="K44" i="25" s="1"/>
  <c r="L44" i="25" s="1"/>
  <c r="M44" i="25" s="1"/>
  <c r="F44" i="25"/>
  <c r="D117" i="25"/>
  <c r="D119" i="25" s="1"/>
  <c r="E120" i="25"/>
  <c r="E113" i="25"/>
  <c r="D127" i="25"/>
  <c r="L127" i="25"/>
  <c r="I119" i="25"/>
  <c r="E127" i="25"/>
  <c r="F127" i="25"/>
  <c r="I145" i="25"/>
  <c r="N15" i="25"/>
  <c r="D79" i="25"/>
  <c r="D113" i="25"/>
  <c r="D120" i="25"/>
  <c r="L120" i="25"/>
  <c r="L113" i="25"/>
  <c r="G117" i="25"/>
  <c r="G119" i="25" s="1"/>
  <c r="H145" i="25"/>
  <c r="N98" i="25"/>
  <c r="C145" i="25"/>
  <c r="K145" i="25"/>
  <c r="G113" i="25"/>
  <c r="D145" i="25"/>
  <c r="L145" i="25"/>
  <c r="H113" i="25"/>
  <c r="N58" i="25" l="1"/>
  <c r="M78" i="25"/>
  <c r="I36" i="25"/>
  <c r="I38" i="25" s="1"/>
  <c r="I40" i="25" s="1"/>
  <c r="J140" i="25"/>
  <c r="F79" i="25"/>
  <c r="M21" i="27"/>
  <c r="F140" i="25"/>
  <c r="I140" i="25"/>
  <c r="J139" i="25"/>
  <c r="F139" i="25"/>
  <c r="M78" i="26"/>
  <c r="M79" i="26" s="1"/>
  <c r="C29" i="26"/>
  <c r="P28" i="26" s="1"/>
  <c r="M34" i="25"/>
  <c r="N34" i="25" s="1"/>
  <c r="K139" i="25"/>
  <c r="M120" i="25"/>
  <c r="N120" i="25" s="1"/>
  <c r="K140" i="25"/>
  <c r="L139" i="25"/>
  <c r="F140" i="27"/>
  <c r="L140" i="25"/>
  <c r="M113" i="25"/>
  <c r="N113" i="25" s="1"/>
  <c r="M124" i="25"/>
  <c r="N124" i="25" s="1"/>
  <c r="G36" i="27"/>
  <c r="G38" i="27" s="1"/>
  <c r="G40" i="27" s="1"/>
  <c r="K29" i="27"/>
  <c r="K36" i="27" s="1"/>
  <c r="H36" i="27"/>
  <c r="H38" i="27" s="1"/>
  <c r="H40" i="27" s="1"/>
  <c r="F36" i="27"/>
  <c r="F38" i="27" s="1"/>
  <c r="F40" i="27" s="1"/>
  <c r="L36" i="27"/>
  <c r="L38" i="27" s="1"/>
  <c r="L40" i="27" s="1"/>
  <c r="J36" i="27"/>
  <c r="J38" i="27" s="1"/>
  <c r="J40" i="27" s="1"/>
  <c r="D36" i="27"/>
  <c r="D38" i="27" s="1"/>
  <c r="D40" i="27" s="1"/>
  <c r="I29" i="27"/>
  <c r="E29" i="27"/>
  <c r="D140" i="25"/>
  <c r="D36" i="25"/>
  <c r="D38" i="25" s="1"/>
  <c r="D40" i="25" s="1"/>
  <c r="D139" i="25"/>
  <c r="M17" i="25"/>
  <c r="N17" i="25" s="1"/>
  <c r="E140" i="25"/>
  <c r="E139" i="25"/>
  <c r="H79" i="25"/>
  <c r="M23" i="26"/>
  <c r="M23" i="27"/>
  <c r="M139" i="26"/>
  <c r="C36" i="27"/>
  <c r="C38" i="27" s="1"/>
  <c r="C140" i="27"/>
  <c r="G140" i="25"/>
  <c r="G36" i="25"/>
  <c r="G38" i="25" s="1"/>
  <c r="G40" i="25" s="1"/>
  <c r="J79" i="25"/>
  <c r="G79" i="25"/>
  <c r="M21" i="25"/>
  <c r="N21" i="25" s="1"/>
  <c r="H139" i="25"/>
  <c r="M117" i="25"/>
  <c r="K11" i="25"/>
  <c r="L11" i="25" s="1"/>
  <c r="M11" i="25" s="1"/>
  <c r="J11" i="25"/>
  <c r="N66" i="25"/>
  <c r="M145" i="25"/>
  <c r="I79" i="25"/>
  <c r="M23" i="25"/>
  <c r="H140" i="25"/>
  <c r="C36" i="25"/>
  <c r="C38" i="25" s="1"/>
  <c r="C140" i="25"/>
  <c r="M140" i="27" l="1"/>
  <c r="M29" i="27"/>
  <c r="C140" i="26"/>
  <c r="C36" i="26"/>
  <c r="P35" i="26" s="1"/>
  <c r="M29" i="26"/>
  <c r="K38" i="27"/>
  <c r="K40" i="27" s="1"/>
  <c r="I36" i="27"/>
  <c r="I38" i="27" s="1"/>
  <c r="I40" i="27" s="1"/>
  <c r="E36" i="27"/>
  <c r="E38" i="27" s="1"/>
  <c r="E40" i="27" s="1"/>
  <c r="C40" i="27"/>
  <c r="N23" i="25"/>
  <c r="M29" i="25"/>
  <c r="C40" i="25"/>
  <c r="M38" i="25"/>
  <c r="N54" i="25"/>
  <c r="N117" i="25"/>
  <c r="M119" i="25"/>
  <c r="N119" i="25" s="1"/>
  <c r="N78" i="25"/>
  <c r="M36" i="27" l="1"/>
  <c r="C38" i="26"/>
  <c r="C40" i="26" s="1"/>
  <c r="P39" i="26" s="1"/>
  <c r="M36" i="26"/>
  <c r="M38" i="27"/>
  <c r="M40" i="27" s="1"/>
  <c r="M79" i="25"/>
  <c r="N79" i="25" s="1"/>
  <c r="N38" i="25"/>
  <c r="M40" i="25"/>
  <c r="N40" i="25" s="1"/>
  <c r="M36" i="25"/>
  <c r="N36" i="25" s="1"/>
  <c r="N29" i="25"/>
  <c r="M140" i="25"/>
  <c r="M139" i="25"/>
  <c r="P37" i="26" l="1"/>
  <c r="M38" i="26"/>
  <c r="M40" i="26" s="1"/>
  <c r="H34" i="12" l="1"/>
  <c r="M60" i="12" l="1"/>
  <c r="D25" i="12"/>
  <c r="F25" i="12"/>
  <c r="F34" i="12" l="1"/>
  <c r="L34" i="12"/>
  <c r="M6" i="24" l="1"/>
  <c r="M14" i="24"/>
  <c r="M20" i="24"/>
  <c r="M21" i="24"/>
  <c r="M25" i="24"/>
  <c r="I27" i="24"/>
  <c r="D57" i="1" l="1"/>
  <c r="E57" i="1"/>
  <c r="F57" i="1"/>
  <c r="G57" i="1"/>
  <c r="H57" i="1"/>
  <c r="I57" i="1"/>
  <c r="J57" i="1"/>
  <c r="K57" i="1"/>
  <c r="L57" i="1"/>
  <c r="C57" i="1"/>
  <c r="D57" i="15"/>
  <c r="F57" i="15"/>
  <c r="G57" i="15"/>
  <c r="H57" i="15"/>
  <c r="I57" i="15"/>
  <c r="J57" i="15"/>
  <c r="K57" i="15"/>
  <c r="L57" i="15"/>
  <c r="C57" i="15"/>
  <c r="F59" i="24"/>
  <c r="F61" i="24"/>
  <c r="B48" i="24"/>
  <c r="B49" i="24"/>
  <c r="C48" i="24"/>
  <c r="C49" i="24"/>
  <c r="D48" i="24"/>
  <c r="D49" i="24"/>
  <c r="E48" i="24"/>
  <c r="E49" i="24"/>
  <c r="J48" i="24"/>
  <c r="J49" i="24"/>
  <c r="I48" i="24"/>
  <c r="I49" i="24"/>
  <c r="H48" i="24"/>
  <c r="H49" i="24"/>
  <c r="G48" i="24"/>
  <c r="G49" i="24"/>
  <c r="F48" i="24"/>
  <c r="F49" i="24"/>
  <c r="M59" i="1"/>
  <c r="M60" i="1"/>
  <c r="M53" i="1"/>
  <c r="M52" i="1"/>
  <c r="I10" i="24"/>
  <c r="M20" i="1"/>
  <c r="N20" i="15" s="1"/>
  <c r="M19" i="1"/>
  <c r="N19" i="15" s="1"/>
  <c r="C9" i="24"/>
  <c r="D9" i="24"/>
  <c r="E9" i="24"/>
  <c r="F9" i="24"/>
  <c r="G9" i="24"/>
  <c r="H9" i="24"/>
  <c r="I9" i="24"/>
  <c r="J9" i="24"/>
  <c r="K9" i="24"/>
  <c r="B9" i="24"/>
  <c r="D43" i="1"/>
  <c r="E43" i="1"/>
  <c r="F43" i="1"/>
  <c r="G43" i="1"/>
  <c r="H43" i="1"/>
  <c r="I43" i="1"/>
  <c r="J43" i="1"/>
  <c r="K43" i="1"/>
  <c r="L43" i="1"/>
  <c r="C43" i="1"/>
  <c r="J126" i="1"/>
  <c r="I61" i="24"/>
  <c r="M60" i="15"/>
  <c r="K49" i="24"/>
  <c r="K48" i="24"/>
  <c r="D43" i="12"/>
  <c r="E43" i="12"/>
  <c r="F43" i="12"/>
  <c r="G43" i="12"/>
  <c r="H43" i="12"/>
  <c r="I43" i="12"/>
  <c r="J43" i="12"/>
  <c r="K43" i="12"/>
  <c r="L43" i="12"/>
  <c r="C43" i="12"/>
  <c r="B60" i="24"/>
  <c r="C60" i="24"/>
  <c r="D60" i="24"/>
  <c r="E60" i="24"/>
  <c r="K60" i="24"/>
  <c r="G60" i="24"/>
  <c r="H60" i="24"/>
  <c r="H61" i="24"/>
  <c r="I60" i="24"/>
  <c r="J60" i="24"/>
  <c r="J61" i="24"/>
  <c r="C76" i="1"/>
  <c r="H66" i="15" l="1"/>
  <c r="N9" i="14"/>
  <c r="O9" i="14" s="1"/>
  <c r="F66" i="15"/>
  <c r="N11" i="14"/>
  <c r="O11" i="14" s="1"/>
  <c r="L66" i="15"/>
  <c r="N8" i="14"/>
  <c r="O8" i="14" s="1"/>
  <c r="D66" i="15"/>
  <c r="N13" i="14"/>
  <c r="O13" i="14" s="1"/>
  <c r="K66" i="15"/>
  <c r="N16" i="14"/>
  <c r="O16" i="14" s="1"/>
  <c r="G66" i="15"/>
  <c r="N14" i="14"/>
  <c r="O14" i="14" s="1"/>
  <c r="N15" i="14"/>
  <c r="O15" i="14" s="1"/>
  <c r="J66" i="15"/>
  <c r="N7" i="14"/>
  <c r="O7" i="14" s="1"/>
  <c r="C66" i="15"/>
  <c r="N10" i="14"/>
  <c r="I66" i="15"/>
  <c r="N12" i="14"/>
  <c r="O12" i="14" s="1"/>
  <c r="H66" i="1"/>
  <c r="G66" i="1"/>
  <c r="J66" i="1"/>
  <c r="C66" i="1"/>
  <c r="L66" i="1"/>
  <c r="D66" i="1"/>
  <c r="F66" i="1"/>
  <c r="E66" i="1"/>
  <c r="K66" i="1"/>
  <c r="I66" i="1"/>
  <c r="M17" i="14"/>
  <c r="M19" i="12"/>
  <c r="M59" i="12"/>
  <c r="D51" i="1"/>
  <c r="E51" i="1"/>
  <c r="E54" i="1" s="1"/>
  <c r="J15" i="14" s="1"/>
  <c r="G51" i="1"/>
  <c r="H51" i="1"/>
  <c r="I51" i="1"/>
  <c r="J51" i="1"/>
  <c r="K51" i="1"/>
  <c r="L51" i="1"/>
  <c r="C51" i="1"/>
  <c r="D13" i="1"/>
  <c r="E13" i="1"/>
  <c r="F13" i="1"/>
  <c r="H13" i="1"/>
  <c r="I13" i="1"/>
  <c r="J13" i="1"/>
  <c r="K13" i="1"/>
  <c r="L13" i="1"/>
  <c r="M69" i="15"/>
  <c r="M70" i="15"/>
  <c r="M72" i="15"/>
  <c r="M73" i="15"/>
  <c r="M74" i="15"/>
  <c r="M59" i="15"/>
  <c r="M61" i="15"/>
  <c r="M62" i="15"/>
  <c r="M64" i="15"/>
  <c r="M63" i="15"/>
  <c r="M65" i="15"/>
  <c r="M48" i="15"/>
  <c r="M49" i="15"/>
  <c r="P33" i="14" s="1"/>
  <c r="M50" i="15"/>
  <c r="M47" i="15"/>
  <c r="C107" i="14" l="1"/>
  <c r="C103" i="14"/>
  <c r="C99" i="14"/>
  <c r="C108" i="14"/>
  <c r="C101" i="14"/>
  <c r="C104" i="14"/>
  <c r="C106" i="14"/>
  <c r="C100" i="14"/>
  <c r="C105" i="14"/>
  <c r="N17" i="14"/>
  <c r="O17" i="14" s="1"/>
  <c r="I54" i="1"/>
  <c r="I145" i="1"/>
  <c r="L54" i="1"/>
  <c r="L145" i="1"/>
  <c r="H54" i="1"/>
  <c r="H145" i="1"/>
  <c r="D54" i="1"/>
  <c r="D145" i="1"/>
  <c r="G54" i="1"/>
  <c r="G145" i="1"/>
  <c r="K54" i="1"/>
  <c r="K145" i="1"/>
  <c r="J54" i="1"/>
  <c r="J145" i="1"/>
  <c r="F145" i="1"/>
  <c r="C54" i="1"/>
  <c r="C145" i="1"/>
  <c r="E145" i="1"/>
  <c r="D51" i="15"/>
  <c r="D54" i="15" s="1"/>
  <c r="J11" i="14" s="1"/>
  <c r="F51" i="15"/>
  <c r="F54" i="15" s="1"/>
  <c r="J12" i="14" s="1"/>
  <c r="G51" i="15"/>
  <c r="G54" i="15" s="1"/>
  <c r="J16" i="14" s="1"/>
  <c r="H51" i="15"/>
  <c r="H54" i="15" s="1"/>
  <c r="J10" i="14" s="1"/>
  <c r="I51" i="15"/>
  <c r="I54" i="15" s="1"/>
  <c r="J13" i="14" s="1"/>
  <c r="J51" i="15"/>
  <c r="J54" i="15" s="1"/>
  <c r="K51" i="15"/>
  <c r="K54" i="15" s="1"/>
  <c r="L51" i="15"/>
  <c r="L54" i="15" s="1"/>
  <c r="C51" i="15"/>
  <c r="C54" i="15" s="1"/>
  <c r="J7" i="14" s="1"/>
  <c r="L64" i="24"/>
  <c r="L49" i="24"/>
  <c r="M49" i="24" s="1"/>
  <c r="L48" i="24"/>
  <c r="M48" i="24" s="1"/>
  <c r="L9" i="24"/>
  <c r="M9" i="24" s="1"/>
  <c r="C25" i="23"/>
  <c r="D25" i="23"/>
  <c r="E25" i="23"/>
  <c r="F25" i="23"/>
  <c r="G25" i="23"/>
  <c r="H25" i="23"/>
  <c r="I25" i="23"/>
  <c r="J25" i="23"/>
  <c r="K25" i="23"/>
  <c r="B25" i="23"/>
  <c r="L30" i="23"/>
  <c r="M30" i="23" s="1"/>
  <c r="L24" i="23"/>
  <c r="M24" i="23" s="1"/>
  <c r="L23" i="23"/>
  <c r="M23" i="23" s="1"/>
  <c r="C16" i="23"/>
  <c r="D16" i="23"/>
  <c r="E16" i="23"/>
  <c r="F16" i="23"/>
  <c r="G16" i="23"/>
  <c r="H16" i="23"/>
  <c r="I16" i="23"/>
  <c r="J16" i="23"/>
  <c r="K16" i="23"/>
  <c r="B16" i="23"/>
  <c r="L19" i="23"/>
  <c r="M19" i="23" s="1"/>
  <c r="L18" i="23"/>
  <c r="M18" i="23" s="1"/>
  <c r="L17" i="23"/>
  <c r="M17" i="23" s="1"/>
  <c r="L13" i="23"/>
  <c r="M13" i="23" s="1"/>
  <c r="L11" i="23"/>
  <c r="M11" i="23" s="1"/>
  <c r="L10" i="23"/>
  <c r="M10" i="23" s="1"/>
  <c r="L9" i="23"/>
  <c r="M9" i="23" s="1"/>
  <c r="L6" i="23"/>
  <c r="M6" i="23" s="1"/>
  <c r="L5" i="23"/>
  <c r="M5" i="23" s="1"/>
  <c r="C8" i="23"/>
  <c r="D8" i="23"/>
  <c r="E8" i="23"/>
  <c r="F8" i="23"/>
  <c r="G8" i="23"/>
  <c r="H8" i="23"/>
  <c r="I8" i="23"/>
  <c r="J8" i="23"/>
  <c r="K8" i="23"/>
  <c r="B8" i="23"/>
  <c r="C4" i="23"/>
  <c r="D4" i="23"/>
  <c r="E4" i="23"/>
  <c r="F4" i="23"/>
  <c r="G4" i="23"/>
  <c r="H4" i="23"/>
  <c r="I4" i="23"/>
  <c r="J4" i="23"/>
  <c r="K4" i="23"/>
  <c r="B4" i="23"/>
  <c r="J9" i="14" l="1"/>
  <c r="J14" i="14"/>
  <c r="J8" i="14"/>
  <c r="K7" i="14"/>
  <c r="K12" i="23"/>
  <c r="K14" i="23" s="1"/>
  <c r="K20" i="23" s="1"/>
  <c r="K27" i="23" s="1"/>
  <c r="C12" i="23"/>
  <c r="C14" i="23" s="1"/>
  <c r="C20" i="23" s="1"/>
  <c r="C27" i="23" s="1"/>
  <c r="C29" i="23" s="1"/>
  <c r="C31" i="23" s="1"/>
  <c r="N54" i="1"/>
  <c r="J12" i="23"/>
  <c r="J14" i="23" s="1"/>
  <c r="J20" i="23" s="1"/>
  <c r="J27" i="23" s="1"/>
  <c r="J29" i="23" s="1"/>
  <c r="J31" i="23" s="1"/>
  <c r="I12" i="23"/>
  <c r="I14" i="23" s="1"/>
  <c r="I20" i="23" s="1"/>
  <c r="I27" i="23" s="1"/>
  <c r="I29" i="23" s="1"/>
  <c r="I31" i="23" s="1"/>
  <c r="H12" i="23"/>
  <c r="H14" i="23" s="1"/>
  <c r="H20" i="23" s="1"/>
  <c r="H27" i="23" s="1"/>
  <c r="H29" i="23" s="1"/>
  <c r="H31" i="23" s="1"/>
  <c r="F12" i="23"/>
  <c r="F14" i="23" s="1"/>
  <c r="F20" i="23" s="1"/>
  <c r="F27" i="23" s="1"/>
  <c r="F29" i="23" s="1"/>
  <c r="F31" i="23" s="1"/>
  <c r="L8" i="23"/>
  <c r="M8" i="23" s="1"/>
  <c r="G12" i="23"/>
  <c r="G14" i="23" s="1"/>
  <c r="G20" i="23" s="1"/>
  <c r="G27" i="23" s="1"/>
  <c r="G29" i="23" s="1"/>
  <c r="G31" i="23" s="1"/>
  <c r="E12" i="23"/>
  <c r="E14" i="23" s="1"/>
  <c r="E20" i="23" s="1"/>
  <c r="E27" i="23" s="1"/>
  <c r="E29" i="23" s="1"/>
  <c r="E31" i="23" s="1"/>
  <c r="D12" i="23"/>
  <c r="D14" i="23" s="1"/>
  <c r="D20" i="23" s="1"/>
  <c r="D27" i="23" s="1"/>
  <c r="D29" i="23" s="1"/>
  <c r="D31" i="23" s="1"/>
  <c r="L4" i="23"/>
  <c r="M4" i="23" s="1"/>
  <c r="B12" i="23"/>
  <c r="L25" i="23"/>
  <c r="M25" i="23" s="1"/>
  <c r="L16" i="23"/>
  <c r="M16" i="23" s="1"/>
  <c r="E17" i="1"/>
  <c r="F17" i="1"/>
  <c r="G17" i="1"/>
  <c r="H17" i="1"/>
  <c r="I17" i="1"/>
  <c r="J17" i="1"/>
  <c r="K17" i="1"/>
  <c r="L17" i="1"/>
  <c r="M27" i="15"/>
  <c r="M28" i="15"/>
  <c r="P30" i="14"/>
  <c r="C44" i="15"/>
  <c r="C11" i="15"/>
  <c r="D11" i="15" s="1"/>
  <c r="E11" i="15" s="1"/>
  <c r="F11" i="15" s="1"/>
  <c r="G11" i="15" s="1"/>
  <c r="H11" i="15" s="1"/>
  <c r="I11" i="15" s="1"/>
  <c r="J11" i="15" s="1"/>
  <c r="K11" i="15" s="1"/>
  <c r="L11" i="15" s="1"/>
  <c r="P22" i="14"/>
  <c r="L12" i="23" l="1"/>
  <c r="M12" i="23" s="1"/>
  <c r="B14" i="23"/>
  <c r="L14" i="23" l="1"/>
  <c r="M14" i="23" s="1"/>
  <c r="B20" i="23"/>
  <c r="B6" i="14"/>
  <c r="D6" i="14"/>
  <c r="S21" i="14"/>
  <c r="R21" i="14"/>
  <c r="P21" i="14"/>
  <c r="O21" i="14"/>
  <c r="P24" i="14"/>
  <c r="P23" i="14"/>
  <c r="P28" i="14"/>
  <c r="P25" i="14"/>
  <c r="P29" i="14"/>
  <c r="P26" i="14"/>
  <c r="P31" i="14"/>
  <c r="P27" i="14"/>
  <c r="F78" i="15"/>
  <c r="P36" i="14" l="1"/>
  <c r="P37" i="14" s="1"/>
  <c r="L20" i="23"/>
  <c r="M20" i="23" s="1"/>
  <c r="B27" i="23"/>
  <c r="P32" i="14"/>
  <c r="P34" i="14" s="1"/>
  <c r="Q27" i="14"/>
  <c r="O32" i="14"/>
  <c r="Q28" i="14"/>
  <c r="Q23" i="14"/>
  <c r="Q29" i="14"/>
  <c r="Q24" i="14"/>
  <c r="Q30" i="14"/>
  <c r="Q26" i="14"/>
  <c r="Q25" i="14"/>
  <c r="Q31" i="14"/>
  <c r="Q22" i="14"/>
  <c r="F80" i="15"/>
  <c r="L27" i="23" l="1"/>
  <c r="M27" i="23" s="1"/>
  <c r="B29" i="23"/>
  <c r="Q32" i="14"/>
  <c r="R25" i="14"/>
  <c r="S27" i="14"/>
  <c r="S23" i="14"/>
  <c r="S25" i="14"/>
  <c r="S28" i="14"/>
  <c r="R29" i="14"/>
  <c r="R31" i="14"/>
  <c r="S30" i="14"/>
  <c r="S26" i="14"/>
  <c r="S31" i="14"/>
  <c r="R23" i="14"/>
  <c r="R28" i="14"/>
  <c r="S29" i="14"/>
  <c r="R24" i="14"/>
  <c r="R30" i="14"/>
  <c r="R27" i="14"/>
  <c r="S24" i="14"/>
  <c r="S22" i="14"/>
  <c r="R22" i="14"/>
  <c r="R26" i="14"/>
  <c r="I76" i="24"/>
  <c r="I73" i="24"/>
  <c r="I74" i="24"/>
  <c r="I57" i="24"/>
  <c r="I58" i="24"/>
  <c r="I59" i="24"/>
  <c r="I62" i="24"/>
  <c r="I63" i="24"/>
  <c r="I50" i="24"/>
  <c r="I51" i="24"/>
  <c r="I53" i="24"/>
  <c r="I52" i="24"/>
  <c r="I54" i="24"/>
  <c r="I38" i="24"/>
  <c r="I39" i="24"/>
  <c r="I41" i="24"/>
  <c r="I42" i="24"/>
  <c r="I36" i="24"/>
  <c r="I29" i="24"/>
  <c r="I22" i="24"/>
  <c r="I23" i="24"/>
  <c r="I16" i="24"/>
  <c r="I17" i="24"/>
  <c r="I18" i="24"/>
  <c r="I8" i="24"/>
  <c r="I7" i="24" s="1"/>
  <c r="I5" i="24"/>
  <c r="I4" i="24"/>
  <c r="J36" i="15" l="1"/>
  <c r="J38" i="15" s="1"/>
  <c r="J40" i="15" s="1"/>
  <c r="F36" i="15"/>
  <c r="F38" i="15" s="1"/>
  <c r="F40" i="15" s="1"/>
  <c r="I12" i="24"/>
  <c r="I15" i="24"/>
  <c r="I24" i="24"/>
  <c r="I3" i="24"/>
  <c r="I11" i="24" s="1"/>
  <c r="I66" i="24"/>
  <c r="I75" i="24"/>
  <c r="I40" i="24"/>
  <c r="I43" i="24" s="1"/>
  <c r="B31" i="23"/>
  <c r="R32" i="14"/>
  <c r="S32" i="14"/>
  <c r="T25" i="14"/>
  <c r="T27" i="14"/>
  <c r="T30" i="14"/>
  <c r="T26" i="14"/>
  <c r="T28" i="14"/>
  <c r="T22" i="14"/>
  <c r="T23" i="14"/>
  <c r="T24" i="14"/>
  <c r="T31" i="14"/>
  <c r="T29" i="14"/>
  <c r="K34" i="1"/>
  <c r="J120" i="1"/>
  <c r="J104" i="1"/>
  <c r="J105" i="1"/>
  <c r="J108" i="1"/>
  <c r="J111" i="1"/>
  <c r="J112" i="1"/>
  <c r="J117" i="1"/>
  <c r="J118" i="1"/>
  <c r="J122" i="1"/>
  <c r="J123" i="1"/>
  <c r="F120" i="1"/>
  <c r="F123" i="1"/>
  <c r="F122" i="1"/>
  <c r="F76" i="1"/>
  <c r="J76" i="1"/>
  <c r="G21" i="1"/>
  <c r="G23" i="1" s="1"/>
  <c r="F25" i="1"/>
  <c r="G25" i="1"/>
  <c r="H25" i="1"/>
  <c r="I25" i="1"/>
  <c r="J25" i="1"/>
  <c r="L25" i="1"/>
  <c r="F34" i="1"/>
  <c r="G34" i="1"/>
  <c r="H34" i="1"/>
  <c r="I34" i="1"/>
  <c r="J34" i="1"/>
  <c r="L34" i="1"/>
  <c r="J76" i="12"/>
  <c r="J143" i="12" s="1"/>
  <c r="H4" i="24"/>
  <c r="J145" i="12" l="1"/>
  <c r="I68" i="14" s="1"/>
  <c r="I13" i="24"/>
  <c r="I19" i="24" s="1"/>
  <c r="I26" i="24" s="1"/>
  <c r="I28" i="24" s="1"/>
  <c r="I30" i="24" s="1"/>
  <c r="J57" i="12"/>
  <c r="G100" i="14" s="1"/>
  <c r="I47" i="24"/>
  <c r="J54" i="12"/>
  <c r="T32" i="14"/>
  <c r="F124" i="1"/>
  <c r="J106" i="1"/>
  <c r="J78" i="1"/>
  <c r="F78" i="1"/>
  <c r="F79" i="1" s="1"/>
  <c r="J127" i="1"/>
  <c r="F21" i="1"/>
  <c r="H21" i="1"/>
  <c r="K21" i="1"/>
  <c r="J124" i="1"/>
  <c r="J113" i="1"/>
  <c r="J119" i="1"/>
  <c r="I21" i="1"/>
  <c r="G29" i="1"/>
  <c r="L21" i="1"/>
  <c r="J21" i="1"/>
  <c r="J23" i="1" s="1"/>
  <c r="K24" i="14" s="1"/>
  <c r="C90" i="14"/>
  <c r="B90" i="14"/>
  <c r="M68" i="14"/>
  <c r="L68" i="14"/>
  <c r="J126" i="12"/>
  <c r="J122" i="12"/>
  <c r="J123" i="12"/>
  <c r="J100" i="12"/>
  <c r="J17" i="12"/>
  <c r="J21" i="12" s="1"/>
  <c r="J23" i="12" l="1"/>
  <c r="J29" i="12" s="1"/>
  <c r="J139" i="27"/>
  <c r="G36" i="1"/>
  <c r="G38" i="1" s="1"/>
  <c r="G40" i="1" s="1"/>
  <c r="J66" i="12"/>
  <c r="J146" i="12"/>
  <c r="J136" i="12" s="1"/>
  <c r="F100" i="14" s="1"/>
  <c r="B8" i="14"/>
  <c r="J142" i="12"/>
  <c r="D90" i="14"/>
  <c r="I46" i="24"/>
  <c r="I55" i="24"/>
  <c r="I68" i="24" s="1"/>
  <c r="I69" i="24" s="1"/>
  <c r="F7" i="14"/>
  <c r="F23" i="1"/>
  <c r="K23" i="1"/>
  <c r="K29" i="1" s="1"/>
  <c r="L23" i="1"/>
  <c r="H23" i="1"/>
  <c r="I23" i="1"/>
  <c r="J79" i="1"/>
  <c r="J29" i="1"/>
  <c r="J127" i="12"/>
  <c r="G90" i="14" s="1"/>
  <c r="J120" i="12"/>
  <c r="J90" i="14" s="1"/>
  <c r="J124" i="12"/>
  <c r="H53" i="14"/>
  <c r="J78" i="12" l="1"/>
  <c r="J79" i="12" s="1"/>
  <c r="O34" i="1"/>
  <c r="G29" i="14"/>
  <c r="F29" i="1"/>
  <c r="G25" i="14" s="1"/>
  <c r="K30" i="14"/>
  <c r="I29" i="1"/>
  <c r="H29" i="1"/>
  <c r="L29" i="1"/>
  <c r="J140" i="12"/>
  <c r="B57" i="14" s="1"/>
  <c r="J139" i="12"/>
  <c r="E60" i="14" s="1"/>
  <c r="K8" i="14"/>
  <c r="L24" i="14"/>
  <c r="J140" i="1"/>
  <c r="J139" i="1"/>
  <c r="J36" i="1"/>
  <c r="J38" i="1" s="1"/>
  <c r="J40" i="1" s="1"/>
  <c r="C25" i="14" s="1"/>
  <c r="J36" i="12"/>
  <c r="J38" i="12" s="1"/>
  <c r="J40" i="12" s="1"/>
  <c r="L126" i="1"/>
  <c r="K126" i="1"/>
  <c r="I126" i="1"/>
  <c r="H126" i="1"/>
  <c r="G126" i="1"/>
  <c r="F126" i="1"/>
  <c r="F127" i="1" s="1"/>
  <c r="E126" i="1"/>
  <c r="D126" i="1"/>
  <c r="C126" i="1"/>
  <c r="D4" i="22"/>
  <c r="C4" i="22"/>
  <c r="J6" i="14"/>
  <c r="E53" i="14"/>
  <c r="B53" i="14"/>
  <c r="N6" i="14"/>
  <c r="M6" i="14"/>
  <c r="I6" i="14"/>
  <c r="K37" i="14"/>
  <c r="G37" i="14"/>
  <c r="K21" i="14"/>
  <c r="J21" i="14"/>
  <c r="B37" i="14"/>
  <c r="C37" i="14"/>
  <c r="G21" i="14"/>
  <c r="F21" i="14"/>
  <c r="H29" i="14" l="1"/>
  <c r="F139" i="1"/>
  <c r="F140" i="1"/>
  <c r="K36" i="1"/>
  <c r="K38" i="1" s="1"/>
  <c r="K40" i="1" s="1"/>
  <c r="H36" i="1"/>
  <c r="H38" i="1" s="1"/>
  <c r="H40" i="1" s="1"/>
  <c r="I36" i="1"/>
  <c r="I38" i="1" s="1"/>
  <c r="I40" i="1" s="1"/>
  <c r="D25" i="14"/>
  <c r="L36" i="1"/>
  <c r="L38" i="1" s="1"/>
  <c r="L40" i="1" s="1"/>
  <c r="F36" i="1"/>
  <c r="F38" i="1" s="1"/>
  <c r="F40" i="1" s="1"/>
  <c r="C26" i="14" s="1"/>
  <c r="F104" i="12"/>
  <c r="F105" i="12"/>
  <c r="F108" i="12"/>
  <c r="F118" i="12"/>
  <c r="L37" i="14"/>
  <c r="J37" i="14"/>
  <c r="F37" i="14"/>
  <c r="C21" i="14"/>
  <c r="B21" i="14"/>
  <c r="D126" i="15"/>
  <c r="M120" i="15"/>
  <c r="M110" i="15"/>
  <c r="M107" i="15"/>
  <c r="M106" i="15"/>
  <c r="M101" i="15"/>
  <c r="N101" i="15" s="1"/>
  <c r="M100" i="15"/>
  <c r="N100" i="15" s="1"/>
  <c r="M97" i="15"/>
  <c r="N97" i="15" s="1"/>
  <c r="M93" i="15"/>
  <c r="M89" i="15"/>
  <c r="M88" i="15"/>
  <c r="L87" i="15"/>
  <c r="K87" i="15"/>
  <c r="I87" i="15"/>
  <c r="H87" i="15"/>
  <c r="G87" i="15"/>
  <c r="D87" i="15"/>
  <c r="C87" i="15"/>
  <c r="M86" i="15"/>
  <c r="M85" i="15"/>
  <c r="L84" i="15"/>
  <c r="K84" i="15"/>
  <c r="I84" i="15"/>
  <c r="G84" i="15"/>
  <c r="D84" i="15"/>
  <c r="C84" i="15"/>
  <c r="M83" i="15"/>
  <c r="M82" i="15"/>
  <c r="L78" i="15"/>
  <c r="K78" i="15"/>
  <c r="J160" i="12" s="1"/>
  <c r="M90" i="14" s="1"/>
  <c r="I78" i="15"/>
  <c r="H78" i="15"/>
  <c r="G78" i="15"/>
  <c r="D78" i="15"/>
  <c r="C78" i="15"/>
  <c r="M77" i="15"/>
  <c r="M76" i="15"/>
  <c r="M75" i="15"/>
  <c r="M68" i="15"/>
  <c r="M58" i="15"/>
  <c r="M53" i="15"/>
  <c r="M52" i="15"/>
  <c r="D44" i="15"/>
  <c r="E44" i="15" s="1"/>
  <c r="M39" i="15"/>
  <c r="M37" i="15"/>
  <c r="C34" i="15"/>
  <c r="M33" i="15"/>
  <c r="M32" i="15"/>
  <c r="M26" i="15"/>
  <c r="C25" i="15"/>
  <c r="M22" i="15"/>
  <c r="C17" i="15"/>
  <c r="M15" i="15"/>
  <c r="M14" i="15"/>
  <c r="E73" i="24"/>
  <c r="D57" i="24"/>
  <c r="E57" i="24"/>
  <c r="G57" i="24"/>
  <c r="K57" i="24"/>
  <c r="C58" i="24"/>
  <c r="D58" i="24"/>
  <c r="E58" i="24"/>
  <c r="F58" i="24"/>
  <c r="G58" i="24"/>
  <c r="H58" i="24"/>
  <c r="J58" i="24"/>
  <c r="K58" i="24"/>
  <c r="C59" i="24"/>
  <c r="D59" i="24"/>
  <c r="E59" i="24"/>
  <c r="G59" i="24"/>
  <c r="H59" i="24"/>
  <c r="J59" i="24"/>
  <c r="K59" i="24"/>
  <c r="C61" i="24"/>
  <c r="D61" i="24"/>
  <c r="E61" i="24"/>
  <c r="G61" i="24"/>
  <c r="C62" i="24"/>
  <c r="D62" i="24"/>
  <c r="E62" i="24"/>
  <c r="F62" i="24"/>
  <c r="G62" i="24"/>
  <c r="H62" i="24"/>
  <c r="J62" i="24"/>
  <c r="K62" i="24"/>
  <c r="C63" i="24"/>
  <c r="D63" i="24"/>
  <c r="E63" i="24"/>
  <c r="F63" i="24"/>
  <c r="G63" i="24"/>
  <c r="H63" i="24"/>
  <c r="J63" i="24"/>
  <c r="K63" i="24"/>
  <c r="B58" i="24"/>
  <c r="B59" i="24"/>
  <c r="B61" i="24"/>
  <c r="B62" i="24"/>
  <c r="B63" i="24"/>
  <c r="B57" i="24"/>
  <c r="B50" i="24"/>
  <c r="C50" i="24"/>
  <c r="D50" i="24"/>
  <c r="E50" i="24"/>
  <c r="F50" i="24"/>
  <c r="G50" i="24"/>
  <c r="H50" i="24"/>
  <c r="J50" i="24"/>
  <c r="K50" i="24"/>
  <c r="B51" i="24"/>
  <c r="C51" i="24"/>
  <c r="D51" i="24"/>
  <c r="E51" i="24"/>
  <c r="F51" i="24"/>
  <c r="G51" i="24"/>
  <c r="H51" i="24"/>
  <c r="J51" i="24"/>
  <c r="K51" i="24"/>
  <c r="B53" i="24"/>
  <c r="D53" i="24"/>
  <c r="E53" i="24"/>
  <c r="F53" i="24"/>
  <c r="G53" i="24"/>
  <c r="H53" i="24"/>
  <c r="J53" i="24"/>
  <c r="K53" i="24"/>
  <c r="B52" i="24"/>
  <c r="C52" i="24"/>
  <c r="D52" i="24"/>
  <c r="F52" i="24"/>
  <c r="H52" i="24"/>
  <c r="J52" i="24"/>
  <c r="B54" i="24"/>
  <c r="C54" i="24"/>
  <c r="D54" i="24"/>
  <c r="E54" i="24"/>
  <c r="F54" i="24"/>
  <c r="G54" i="24"/>
  <c r="H54" i="24"/>
  <c r="J54" i="24"/>
  <c r="K54" i="24"/>
  <c r="J47" i="24"/>
  <c r="B39" i="24"/>
  <c r="B41" i="24"/>
  <c r="C41" i="24"/>
  <c r="D41" i="24"/>
  <c r="E41" i="24"/>
  <c r="F41" i="24"/>
  <c r="G41" i="24"/>
  <c r="H41" i="24"/>
  <c r="J41" i="24"/>
  <c r="K41" i="24"/>
  <c r="B42" i="24"/>
  <c r="C42" i="24"/>
  <c r="D42" i="24"/>
  <c r="E42" i="24"/>
  <c r="F42" i="24"/>
  <c r="G42" i="24"/>
  <c r="H42" i="24"/>
  <c r="J42" i="24"/>
  <c r="K42" i="24"/>
  <c r="C38" i="24"/>
  <c r="D38" i="24"/>
  <c r="E38" i="24"/>
  <c r="F38" i="24"/>
  <c r="G38" i="24"/>
  <c r="H38" i="24"/>
  <c r="J38" i="24"/>
  <c r="K38" i="24"/>
  <c r="B38" i="24"/>
  <c r="C36" i="24"/>
  <c r="D36" i="24"/>
  <c r="E36" i="24"/>
  <c r="F36" i="24"/>
  <c r="G36" i="24"/>
  <c r="H36" i="24"/>
  <c r="J36" i="24"/>
  <c r="K36" i="24"/>
  <c r="B36" i="24"/>
  <c r="L126" i="15" l="1"/>
  <c r="G126" i="15"/>
  <c r="L59" i="24"/>
  <c r="E66" i="24"/>
  <c r="M57" i="15"/>
  <c r="N18" i="14" s="1"/>
  <c r="L42" i="24"/>
  <c r="M76" i="14"/>
  <c r="D39" i="24"/>
  <c r="D40" i="24" s="1"/>
  <c r="D43" i="24" s="1"/>
  <c r="J46" i="24"/>
  <c r="J55" i="24"/>
  <c r="M69" i="14"/>
  <c r="K39" i="24"/>
  <c r="K40" i="24" s="1"/>
  <c r="K43" i="24" s="1"/>
  <c r="L57" i="12"/>
  <c r="K47" i="24"/>
  <c r="M75" i="14"/>
  <c r="J39" i="24"/>
  <c r="J40" i="24" s="1"/>
  <c r="J43" i="24" s="1"/>
  <c r="G102" i="14"/>
  <c r="B47" i="24"/>
  <c r="L54" i="24"/>
  <c r="L50" i="24"/>
  <c r="C87" i="14"/>
  <c r="F74" i="24"/>
  <c r="B87" i="14"/>
  <c r="F73" i="24"/>
  <c r="G126" i="12"/>
  <c r="F76" i="24"/>
  <c r="M73" i="14"/>
  <c r="H39" i="24"/>
  <c r="H40" i="24" s="1"/>
  <c r="H43" i="24" s="1"/>
  <c r="C126" i="12"/>
  <c r="B76" i="24"/>
  <c r="F112" i="12"/>
  <c r="E74" i="24"/>
  <c r="E75" i="24" s="1"/>
  <c r="F126" i="12"/>
  <c r="E76" i="24"/>
  <c r="L36" i="24"/>
  <c r="D57" i="12"/>
  <c r="C47" i="24"/>
  <c r="E57" i="12"/>
  <c r="G107" i="14" s="1"/>
  <c r="D47" i="24"/>
  <c r="L63" i="24"/>
  <c r="B83" i="14"/>
  <c r="B73" i="24"/>
  <c r="C85" i="14"/>
  <c r="D74" i="24"/>
  <c r="B85" i="14"/>
  <c r="D73" i="24"/>
  <c r="E126" i="12"/>
  <c r="D76" i="24"/>
  <c r="L37" i="24"/>
  <c r="M74" i="14"/>
  <c r="F39" i="24"/>
  <c r="F40" i="24" s="1"/>
  <c r="F43" i="24" s="1"/>
  <c r="F57" i="12"/>
  <c r="E47" i="24"/>
  <c r="L62" i="24"/>
  <c r="C83" i="14"/>
  <c r="B74" i="24"/>
  <c r="C84" i="14"/>
  <c r="C74" i="24"/>
  <c r="B84" i="14"/>
  <c r="C73" i="24"/>
  <c r="D126" i="12"/>
  <c r="C76" i="24"/>
  <c r="M70" i="14"/>
  <c r="G39" i="24"/>
  <c r="G40" i="24" s="1"/>
  <c r="B40" i="24"/>
  <c r="B43" i="24" s="1"/>
  <c r="L38" i="24"/>
  <c r="M71" i="14"/>
  <c r="E39" i="24"/>
  <c r="E40" i="24" s="1"/>
  <c r="E43" i="24" s="1"/>
  <c r="G57" i="12"/>
  <c r="F47" i="24"/>
  <c r="G66" i="24"/>
  <c r="C92" i="14"/>
  <c r="K74" i="24"/>
  <c r="B92" i="14"/>
  <c r="K73" i="24"/>
  <c r="L126" i="12"/>
  <c r="K76" i="24"/>
  <c r="C91" i="14"/>
  <c r="J74" i="24"/>
  <c r="B91" i="14"/>
  <c r="J73" i="24"/>
  <c r="K126" i="12"/>
  <c r="J76" i="24"/>
  <c r="H57" i="12"/>
  <c r="G47" i="24"/>
  <c r="M72" i="14"/>
  <c r="C39" i="24"/>
  <c r="B66" i="24"/>
  <c r="L58" i="24"/>
  <c r="D66" i="24"/>
  <c r="C89" i="14"/>
  <c r="H74" i="24"/>
  <c r="B89" i="14"/>
  <c r="H73" i="24"/>
  <c r="I126" i="12"/>
  <c r="H76" i="24"/>
  <c r="L41" i="24"/>
  <c r="L51" i="24"/>
  <c r="C88" i="14"/>
  <c r="G74" i="24"/>
  <c r="B88" i="14"/>
  <c r="G73" i="24"/>
  <c r="H126" i="12"/>
  <c r="G76" i="24"/>
  <c r="K57" i="12"/>
  <c r="C126" i="15"/>
  <c r="H126" i="15"/>
  <c r="M48" i="12"/>
  <c r="L76" i="14"/>
  <c r="E145" i="12"/>
  <c r="M49" i="12"/>
  <c r="C145" i="12"/>
  <c r="L72" i="14"/>
  <c r="D145" i="12"/>
  <c r="L69" i="14"/>
  <c r="L145" i="12"/>
  <c r="L75" i="14"/>
  <c r="K145" i="12"/>
  <c r="L73" i="14"/>
  <c r="I145" i="12"/>
  <c r="M67" i="14"/>
  <c r="M50" i="12"/>
  <c r="L71" i="14"/>
  <c r="F145" i="12"/>
  <c r="L70" i="14"/>
  <c r="H145" i="12"/>
  <c r="L74" i="14"/>
  <c r="G145" i="12"/>
  <c r="L67" i="14"/>
  <c r="M51" i="15"/>
  <c r="M54" i="15" s="1"/>
  <c r="J18" i="14" s="1"/>
  <c r="M87" i="15"/>
  <c r="M113" i="15"/>
  <c r="M114" i="15"/>
  <c r="K29" i="14"/>
  <c r="G44" i="15"/>
  <c r="H44" i="15" s="1"/>
  <c r="I44" i="15" s="1"/>
  <c r="J44" i="15" s="1"/>
  <c r="K44" i="15" s="1"/>
  <c r="L44" i="15" s="1"/>
  <c r="M44" i="15" s="1"/>
  <c r="F44" i="15"/>
  <c r="I126" i="15"/>
  <c r="M17" i="15"/>
  <c r="M84" i="15"/>
  <c r="K126" i="15"/>
  <c r="M13" i="15"/>
  <c r="M25" i="15"/>
  <c r="G80" i="15"/>
  <c r="G81" i="15" s="1"/>
  <c r="K31" i="14"/>
  <c r="J135" i="12"/>
  <c r="B100" i="14" s="1"/>
  <c r="F106" i="12"/>
  <c r="F122" i="12"/>
  <c r="M34" i="15"/>
  <c r="M108" i="15"/>
  <c r="K80" i="15"/>
  <c r="L80" i="15"/>
  <c r="L81" i="15" s="1"/>
  <c r="O10" i="14"/>
  <c r="K28" i="14"/>
  <c r="C80" i="15"/>
  <c r="C81" i="15" s="1"/>
  <c r="H80" i="15"/>
  <c r="H81" i="15" s="1"/>
  <c r="M124" i="15"/>
  <c r="C21" i="15"/>
  <c r="K26" i="14"/>
  <c r="D80" i="15"/>
  <c r="D81" i="15" s="1"/>
  <c r="I80" i="15"/>
  <c r="I81" i="15" s="1"/>
  <c r="M78" i="15"/>
  <c r="B86" i="14"/>
  <c r="C86" i="14"/>
  <c r="F82" i="12"/>
  <c r="F111" i="12"/>
  <c r="F76" i="12"/>
  <c r="F143" i="12" s="1"/>
  <c r="F123" i="12"/>
  <c r="F117" i="12"/>
  <c r="F119" i="12" s="1"/>
  <c r="F100" i="12"/>
  <c r="M102" i="15"/>
  <c r="M119" i="15"/>
  <c r="M125" i="15"/>
  <c r="G31" i="14" l="1"/>
  <c r="K23" i="14"/>
  <c r="G146" i="12"/>
  <c r="G106" i="14"/>
  <c r="H146" i="12"/>
  <c r="G101" i="14"/>
  <c r="F146" i="12"/>
  <c r="G103" i="14"/>
  <c r="L146" i="12"/>
  <c r="G99" i="14"/>
  <c r="D146" i="12"/>
  <c r="G105" i="14"/>
  <c r="K146" i="12"/>
  <c r="G108" i="14"/>
  <c r="E66" i="12"/>
  <c r="E146" i="12"/>
  <c r="C66" i="12"/>
  <c r="C146" i="12"/>
  <c r="M37" i="24"/>
  <c r="F75" i="24"/>
  <c r="M66" i="15"/>
  <c r="M80" i="15" s="1"/>
  <c r="G75" i="24"/>
  <c r="H75" i="24"/>
  <c r="K75" i="24"/>
  <c r="D84" i="14"/>
  <c r="D85" i="14"/>
  <c r="L39" i="24"/>
  <c r="L40" i="24" s="1"/>
  <c r="M77" i="14"/>
  <c r="F14" i="14"/>
  <c r="C93" i="14"/>
  <c r="D83" i="14"/>
  <c r="B93" i="14"/>
  <c r="D91" i="14"/>
  <c r="C40" i="24"/>
  <c r="C43" i="24" s="1"/>
  <c r="C75" i="24"/>
  <c r="F11" i="14"/>
  <c r="D75" i="24"/>
  <c r="F15" i="14"/>
  <c r="B46" i="24"/>
  <c r="B55" i="24"/>
  <c r="B68" i="24" s="1"/>
  <c r="B69" i="24" s="1"/>
  <c r="F16" i="14"/>
  <c r="C46" i="24"/>
  <c r="D89" i="14"/>
  <c r="G46" i="24"/>
  <c r="F13" i="14"/>
  <c r="D87" i="14"/>
  <c r="F9" i="14"/>
  <c r="F46" i="24"/>
  <c r="F55" i="24"/>
  <c r="L74" i="24"/>
  <c r="L73" i="24"/>
  <c r="F10" i="14"/>
  <c r="L77" i="14"/>
  <c r="K46" i="24"/>
  <c r="D86" i="14"/>
  <c r="F8" i="14"/>
  <c r="M38" i="24"/>
  <c r="G66" i="12"/>
  <c r="D88" i="14"/>
  <c r="J75" i="24"/>
  <c r="E46" i="24"/>
  <c r="D46" i="24"/>
  <c r="D55" i="24"/>
  <c r="D68" i="24" s="1"/>
  <c r="D69" i="24" s="1"/>
  <c r="G54" i="12"/>
  <c r="G142" i="12" s="1"/>
  <c r="D54" i="12"/>
  <c r="D142" i="12" s="1"/>
  <c r="K54" i="12"/>
  <c r="K142" i="12" s="1"/>
  <c r="E54" i="12"/>
  <c r="E142" i="12" s="1"/>
  <c r="C142" i="12"/>
  <c r="F54" i="12"/>
  <c r="F142" i="12" s="1"/>
  <c r="L54" i="12"/>
  <c r="L142" i="12" s="1"/>
  <c r="I54" i="12"/>
  <c r="I142" i="12" s="1"/>
  <c r="K66" i="12"/>
  <c r="M51" i="12"/>
  <c r="M121" i="15"/>
  <c r="M126" i="15"/>
  <c r="J159" i="12"/>
  <c r="H60" i="14" s="1"/>
  <c r="J132" i="12"/>
  <c r="J106" i="14" s="1"/>
  <c r="K81" i="15"/>
  <c r="F124" i="12"/>
  <c r="M21" i="15"/>
  <c r="F127" i="12"/>
  <c r="G85" i="14" s="1"/>
  <c r="C23" i="15"/>
  <c r="F120" i="12"/>
  <c r="J87" i="14" s="1"/>
  <c r="F113" i="12"/>
  <c r="M122" i="15"/>
  <c r="M115" i="15"/>
  <c r="M141" i="12" l="1"/>
  <c r="H36" i="15"/>
  <c r="H38" i="15" s="1"/>
  <c r="G27" i="14"/>
  <c r="K36" i="15"/>
  <c r="K38" i="15" s="1"/>
  <c r="G30" i="14"/>
  <c r="I36" i="15"/>
  <c r="I38" i="15" s="1"/>
  <c r="G28" i="14"/>
  <c r="D36" i="15"/>
  <c r="D38" i="15" s="1"/>
  <c r="D40" i="15" s="1"/>
  <c r="G36" i="15"/>
  <c r="G38" i="15" s="1"/>
  <c r="G26" i="14"/>
  <c r="M40" i="24"/>
  <c r="M39" i="24"/>
  <c r="L75" i="24"/>
  <c r="M81" i="15"/>
  <c r="C29" i="15"/>
  <c r="L36" i="15"/>
  <c r="L38" i="15" s="1"/>
  <c r="M23" i="15"/>
  <c r="B12" i="14"/>
  <c r="B15" i="14"/>
  <c r="K33" i="14" l="1"/>
  <c r="C28" i="14"/>
  <c r="I40" i="15"/>
  <c r="H40" i="15"/>
  <c r="C24" i="14" s="1"/>
  <c r="C31" i="14"/>
  <c r="G40" i="15"/>
  <c r="L40" i="15"/>
  <c r="C23" i="14" s="1"/>
  <c r="C30" i="14"/>
  <c r="K40" i="15"/>
  <c r="C36" i="15"/>
  <c r="C38" i="15" s="1"/>
  <c r="C40" i="15" s="1"/>
  <c r="M29" i="15"/>
  <c r="H117" i="12"/>
  <c r="E117" i="12"/>
  <c r="M73" i="12"/>
  <c r="M65" i="12"/>
  <c r="M62" i="12"/>
  <c r="M61" i="12"/>
  <c r="M53" i="12"/>
  <c r="M52" i="12"/>
  <c r="M47" i="12"/>
  <c r="K29" i="24"/>
  <c r="J29" i="24"/>
  <c r="H29" i="24"/>
  <c r="G29" i="24"/>
  <c r="F29" i="24"/>
  <c r="E29" i="24"/>
  <c r="D29" i="24"/>
  <c r="C29" i="24"/>
  <c r="B29" i="24"/>
  <c r="K23" i="24"/>
  <c r="J23" i="24"/>
  <c r="H23" i="24"/>
  <c r="G23" i="24"/>
  <c r="F23" i="24"/>
  <c r="E23" i="24"/>
  <c r="D23" i="24"/>
  <c r="C23" i="24"/>
  <c r="B23" i="24"/>
  <c r="K22" i="24"/>
  <c r="J22" i="24"/>
  <c r="H22" i="24"/>
  <c r="G22" i="24"/>
  <c r="F22" i="24"/>
  <c r="E22" i="24"/>
  <c r="D22" i="24"/>
  <c r="C22" i="24"/>
  <c r="B22" i="24"/>
  <c r="C17" i="24"/>
  <c r="E17" i="24"/>
  <c r="F17" i="24"/>
  <c r="G17" i="24"/>
  <c r="H17" i="24"/>
  <c r="J17" i="24"/>
  <c r="B18" i="24"/>
  <c r="E18" i="24"/>
  <c r="F18" i="24"/>
  <c r="J18" i="24"/>
  <c r="K18" i="24"/>
  <c r="K16" i="24"/>
  <c r="J16" i="24"/>
  <c r="H16" i="24"/>
  <c r="G16" i="24"/>
  <c r="F16" i="24"/>
  <c r="E16" i="24"/>
  <c r="D16" i="24"/>
  <c r="C16" i="24"/>
  <c r="B16" i="24"/>
  <c r="I74" i="14"/>
  <c r="I73" i="14"/>
  <c r="I70" i="14"/>
  <c r="I76" i="14"/>
  <c r="I71" i="14"/>
  <c r="I75" i="14"/>
  <c r="I72" i="14"/>
  <c r="H8" i="24"/>
  <c r="C10" i="24"/>
  <c r="D10" i="24"/>
  <c r="E10" i="24"/>
  <c r="F10" i="24"/>
  <c r="G10" i="24"/>
  <c r="H10" i="24"/>
  <c r="J10" i="24"/>
  <c r="K10" i="24"/>
  <c r="B10" i="24"/>
  <c r="B5" i="24"/>
  <c r="C5" i="24"/>
  <c r="D5" i="24"/>
  <c r="E5" i="24"/>
  <c r="F5" i="24"/>
  <c r="G5" i="24"/>
  <c r="H5" i="24"/>
  <c r="H3" i="24" s="1"/>
  <c r="J5" i="24"/>
  <c r="K5" i="24"/>
  <c r="E4" i="24"/>
  <c r="F4" i="24"/>
  <c r="J4" i="24"/>
  <c r="K4" i="24"/>
  <c r="B4" i="24"/>
  <c r="L123" i="12"/>
  <c r="K123" i="12"/>
  <c r="I123" i="12"/>
  <c r="H123" i="12"/>
  <c r="G123" i="12"/>
  <c r="E123" i="12"/>
  <c r="D123" i="12"/>
  <c r="C123" i="12"/>
  <c r="L122" i="12"/>
  <c r="K122" i="12"/>
  <c r="I122" i="12"/>
  <c r="H122" i="12"/>
  <c r="G122" i="12"/>
  <c r="E122" i="12"/>
  <c r="D122" i="12"/>
  <c r="C122" i="12"/>
  <c r="M118" i="12"/>
  <c r="L118" i="12"/>
  <c r="K118" i="12"/>
  <c r="I118" i="12"/>
  <c r="H118" i="12"/>
  <c r="G118" i="12"/>
  <c r="E118" i="12"/>
  <c r="D118" i="12"/>
  <c r="C118" i="12"/>
  <c r="L117" i="12"/>
  <c r="C117" i="12"/>
  <c r="L112" i="12"/>
  <c r="K112" i="12"/>
  <c r="I112" i="12"/>
  <c r="H112" i="12"/>
  <c r="G112" i="12"/>
  <c r="E112" i="12"/>
  <c r="D112" i="12"/>
  <c r="C112" i="12"/>
  <c r="L111" i="12"/>
  <c r="K111" i="12"/>
  <c r="I111" i="12"/>
  <c r="H111" i="12"/>
  <c r="G111" i="12"/>
  <c r="E111" i="12"/>
  <c r="D111" i="12"/>
  <c r="C111" i="12"/>
  <c r="M108" i="12"/>
  <c r="L108" i="12"/>
  <c r="K108" i="12"/>
  <c r="I108" i="12"/>
  <c r="H108" i="12"/>
  <c r="G108" i="12"/>
  <c r="E108" i="12"/>
  <c r="D108" i="12"/>
  <c r="C108" i="12"/>
  <c r="M105" i="12"/>
  <c r="L105" i="12"/>
  <c r="K105" i="12"/>
  <c r="I105" i="12"/>
  <c r="H105" i="12"/>
  <c r="G105" i="12"/>
  <c r="E105" i="12"/>
  <c r="D105" i="12"/>
  <c r="C105" i="12"/>
  <c r="M104" i="12"/>
  <c r="L104" i="12"/>
  <c r="K104" i="12"/>
  <c r="I104" i="12"/>
  <c r="H104" i="12"/>
  <c r="G104" i="12"/>
  <c r="E104" i="12"/>
  <c r="D104" i="12"/>
  <c r="C104" i="12"/>
  <c r="L100" i="12"/>
  <c r="K100" i="12"/>
  <c r="K127" i="12" s="1"/>
  <c r="G91" i="14" s="1"/>
  <c r="I100" i="12"/>
  <c r="I127" i="12" s="1"/>
  <c r="G84" i="14" s="1"/>
  <c r="H100" i="12"/>
  <c r="H127" i="12" s="1"/>
  <c r="G88" i="14" s="1"/>
  <c r="G100" i="12"/>
  <c r="G127" i="12" s="1"/>
  <c r="G87" i="14" s="1"/>
  <c r="E100" i="12"/>
  <c r="E127" i="12" s="1"/>
  <c r="G86" i="14" s="1"/>
  <c r="D100" i="12"/>
  <c r="D127" i="12" s="1"/>
  <c r="G89" i="14" s="1"/>
  <c r="C100" i="12"/>
  <c r="M99" i="12"/>
  <c r="M98" i="12"/>
  <c r="M95" i="12"/>
  <c r="M91" i="12"/>
  <c r="M87" i="12"/>
  <c r="M86" i="12"/>
  <c r="L85" i="12"/>
  <c r="K85" i="12"/>
  <c r="I85" i="12"/>
  <c r="H85" i="12"/>
  <c r="G85" i="12"/>
  <c r="E85" i="12"/>
  <c r="D85" i="12"/>
  <c r="C85" i="12"/>
  <c r="M84" i="12"/>
  <c r="M83" i="12"/>
  <c r="L82" i="12"/>
  <c r="K82" i="12"/>
  <c r="I82" i="12"/>
  <c r="H82" i="12"/>
  <c r="G82" i="12"/>
  <c r="E82" i="12"/>
  <c r="D82" i="12"/>
  <c r="C82" i="12"/>
  <c r="M81" i="12"/>
  <c r="M80" i="12"/>
  <c r="C76" i="12"/>
  <c r="C143" i="12" s="1"/>
  <c r="M75" i="12"/>
  <c r="M74" i="12"/>
  <c r="M70" i="12"/>
  <c r="M69" i="12"/>
  <c r="M67" i="12"/>
  <c r="D44" i="12"/>
  <c r="E44" i="12" s="1"/>
  <c r="N74" i="25"/>
  <c r="N72" i="25"/>
  <c r="N70" i="25"/>
  <c r="N69" i="25"/>
  <c r="N65" i="25"/>
  <c r="N62" i="25"/>
  <c r="N61" i="25"/>
  <c r="E52" i="24"/>
  <c r="E27" i="24"/>
  <c r="M95" i="1"/>
  <c r="M99" i="1"/>
  <c r="M98" i="1"/>
  <c r="M81" i="1"/>
  <c r="M80" i="1"/>
  <c r="M74" i="1"/>
  <c r="M73" i="1"/>
  <c r="M70" i="1"/>
  <c r="M69" i="1"/>
  <c r="M67" i="1"/>
  <c r="M65" i="1"/>
  <c r="M64" i="1"/>
  <c r="M62" i="1"/>
  <c r="M61" i="1"/>
  <c r="M39" i="1"/>
  <c r="M33" i="1"/>
  <c r="M32" i="1"/>
  <c r="M28" i="1"/>
  <c r="M27" i="1"/>
  <c r="M26" i="1"/>
  <c r="M22" i="1"/>
  <c r="M18" i="1"/>
  <c r="M15" i="1"/>
  <c r="M14" i="1"/>
  <c r="M47" i="1"/>
  <c r="M48" i="1"/>
  <c r="M50" i="1"/>
  <c r="M49" i="1"/>
  <c r="N22" i="15" l="1"/>
  <c r="N15" i="15"/>
  <c r="N27" i="15"/>
  <c r="N39" i="15"/>
  <c r="N18" i="15"/>
  <c r="N28" i="15"/>
  <c r="M71" i="24"/>
  <c r="N32" i="15"/>
  <c r="N14" i="15"/>
  <c r="N26" i="15"/>
  <c r="N33" i="15"/>
  <c r="G33" i="14"/>
  <c r="M100" i="1"/>
  <c r="C78" i="12"/>
  <c r="N51" i="25"/>
  <c r="M38" i="15"/>
  <c r="O34" i="14"/>
  <c r="L79" i="14"/>
  <c r="M70" i="24"/>
  <c r="M85" i="12"/>
  <c r="G44" i="12"/>
  <c r="H44" i="12" s="1"/>
  <c r="I44" i="12" s="1"/>
  <c r="K44" i="12" s="1"/>
  <c r="L44" i="12" s="1"/>
  <c r="M44" i="12" s="1"/>
  <c r="F44" i="12"/>
  <c r="E15" i="24"/>
  <c r="F3" i="24"/>
  <c r="E3" i="24"/>
  <c r="M58" i="24"/>
  <c r="M62" i="24"/>
  <c r="M59" i="24"/>
  <c r="M63" i="24"/>
  <c r="M79" i="14"/>
  <c r="E24" i="24"/>
  <c r="I124" i="12"/>
  <c r="G24" i="24"/>
  <c r="J24" i="24"/>
  <c r="B77" i="14"/>
  <c r="M51" i="24"/>
  <c r="M54" i="24"/>
  <c r="M50" i="24"/>
  <c r="M42" i="24"/>
  <c r="M36" i="24"/>
  <c r="J15" i="24"/>
  <c r="K3" i="24"/>
  <c r="K136" i="12"/>
  <c r="F108" i="14" s="1"/>
  <c r="J8" i="24"/>
  <c r="J7" i="24" s="1"/>
  <c r="F136" i="12"/>
  <c r="F103" i="14" s="1"/>
  <c r="E8" i="24"/>
  <c r="E7" i="24" s="1"/>
  <c r="G12" i="24"/>
  <c r="F15" i="24"/>
  <c r="F24" i="24"/>
  <c r="K24" i="24"/>
  <c r="H7" i="24"/>
  <c r="H11" i="24" s="1"/>
  <c r="H12" i="24"/>
  <c r="J3" i="24"/>
  <c r="L10" i="24"/>
  <c r="H136" i="12"/>
  <c r="F101" i="14" s="1"/>
  <c r="G8" i="24"/>
  <c r="G7" i="24" s="1"/>
  <c r="E12" i="24"/>
  <c r="J12" i="24"/>
  <c r="H24" i="24"/>
  <c r="H135" i="12"/>
  <c r="B102" i="14" s="1"/>
  <c r="G4" i="24"/>
  <c r="G3" i="24" s="1"/>
  <c r="L136" i="12"/>
  <c r="F99" i="14" s="1"/>
  <c r="K8" i="24"/>
  <c r="K7" i="24" s="1"/>
  <c r="G136" i="12"/>
  <c r="F106" i="14" s="1"/>
  <c r="F8" i="24"/>
  <c r="F7" i="24" s="1"/>
  <c r="F12" i="24"/>
  <c r="K12" i="24"/>
  <c r="M36" i="15"/>
  <c r="D24" i="24"/>
  <c r="D12" i="24"/>
  <c r="E136" i="12"/>
  <c r="F107" i="14" s="1"/>
  <c r="D8" i="24"/>
  <c r="D7" i="24" s="1"/>
  <c r="E135" i="12"/>
  <c r="B108" i="14" s="1"/>
  <c r="D4" i="24"/>
  <c r="D3" i="24" s="1"/>
  <c r="L29" i="24"/>
  <c r="C24" i="24"/>
  <c r="L23" i="24"/>
  <c r="C12" i="24"/>
  <c r="D136" i="12"/>
  <c r="F105" i="14" s="1"/>
  <c r="C8" i="24"/>
  <c r="C7" i="24" s="1"/>
  <c r="L5" i="24"/>
  <c r="D135" i="12"/>
  <c r="B104" i="14" s="1"/>
  <c r="C4" i="24"/>
  <c r="C3" i="24" s="1"/>
  <c r="B24" i="24"/>
  <c r="L22" i="24"/>
  <c r="L16" i="24"/>
  <c r="B12" i="24"/>
  <c r="I67" i="14"/>
  <c r="C136" i="12"/>
  <c r="F102" i="14" s="1"/>
  <c r="B8" i="24"/>
  <c r="B3" i="24"/>
  <c r="H66" i="12"/>
  <c r="G52" i="24"/>
  <c r="G55" i="24" s="1"/>
  <c r="G68" i="24" s="1"/>
  <c r="G69" i="24" s="1"/>
  <c r="C127" i="12"/>
  <c r="B75" i="24"/>
  <c r="L66" i="12"/>
  <c r="K52" i="24"/>
  <c r="K55" i="24" s="1"/>
  <c r="E55" i="24"/>
  <c r="E68" i="24" s="1"/>
  <c r="E69" i="24" s="1"/>
  <c r="M111" i="12"/>
  <c r="M73" i="24"/>
  <c r="B94" i="14"/>
  <c r="B95" i="14" s="1"/>
  <c r="L76" i="24"/>
  <c r="M76" i="24" s="1"/>
  <c r="L76" i="12"/>
  <c r="L143" i="12" s="1"/>
  <c r="K61" i="24"/>
  <c r="M112" i="12"/>
  <c r="M74" i="24"/>
  <c r="C94" i="14"/>
  <c r="C95" i="14" s="1"/>
  <c r="G124" i="12"/>
  <c r="M41" i="24"/>
  <c r="F66" i="12"/>
  <c r="M20" i="12"/>
  <c r="E124" i="12"/>
  <c r="M51" i="1"/>
  <c r="D124" i="12"/>
  <c r="C124" i="12"/>
  <c r="G106" i="12"/>
  <c r="D106" i="12"/>
  <c r="M13" i="1"/>
  <c r="L119" i="12"/>
  <c r="H124" i="12"/>
  <c r="D8" i="22"/>
  <c r="B99" i="14"/>
  <c r="C34" i="12"/>
  <c r="K124" i="12"/>
  <c r="D17" i="12"/>
  <c r="D21" i="12" s="1"/>
  <c r="L127" i="12"/>
  <c r="G92" i="14" s="1"/>
  <c r="D92" i="14"/>
  <c r="D93" i="14" s="1"/>
  <c r="D15" i="22"/>
  <c r="D20" i="22"/>
  <c r="D16" i="22"/>
  <c r="C13" i="12"/>
  <c r="L106" i="12"/>
  <c r="H17" i="12"/>
  <c r="H21" i="12" s="1"/>
  <c r="I17" i="12"/>
  <c r="I21" i="12" s="1"/>
  <c r="L135" i="12"/>
  <c r="B101" i="14" s="1"/>
  <c r="G135" i="12"/>
  <c r="B107" i="14" s="1"/>
  <c r="K135" i="12"/>
  <c r="B106" i="14" s="1"/>
  <c r="F135" i="12"/>
  <c r="B103" i="14" s="1"/>
  <c r="C106" i="12"/>
  <c r="H106" i="12"/>
  <c r="M106" i="12"/>
  <c r="I135" i="12"/>
  <c r="B105" i="14" s="1"/>
  <c r="E106" i="12"/>
  <c r="B16" i="14"/>
  <c r="B13" i="14"/>
  <c r="B9" i="14"/>
  <c r="E17" i="12"/>
  <c r="E21" i="12" s="1"/>
  <c r="C17" i="12"/>
  <c r="M63" i="12"/>
  <c r="M26" i="12"/>
  <c r="K17" i="12"/>
  <c r="K21" i="12" s="1"/>
  <c r="G17" i="12"/>
  <c r="G21" i="12" s="1"/>
  <c r="M18" i="12"/>
  <c r="F17" i="12"/>
  <c r="F21" i="12" s="1"/>
  <c r="M14" i="12"/>
  <c r="M15" i="12"/>
  <c r="L17" i="12"/>
  <c r="L21" i="12" s="1"/>
  <c r="N63" i="25"/>
  <c r="M22" i="12"/>
  <c r="M32" i="12"/>
  <c r="M39" i="12"/>
  <c r="I106" i="12"/>
  <c r="M33" i="12"/>
  <c r="D120" i="12"/>
  <c r="J89" i="14" s="1"/>
  <c r="I120" i="12"/>
  <c r="J86" i="14" s="1"/>
  <c r="C120" i="12"/>
  <c r="J83" i="14" s="1"/>
  <c r="E120" i="12"/>
  <c r="J84" i="14" s="1"/>
  <c r="K120" i="12"/>
  <c r="J88" i="14" s="1"/>
  <c r="H120" i="12"/>
  <c r="J85" i="14" s="1"/>
  <c r="G120" i="12"/>
  <c r="J91" i="14" s="1"/>
  <c r="L120" i="12"/>
  <c r="J92" i="14" s="1"/>
  <c r="L124" i="12"/>
  <c r="M82" i="12"/>
  <c r="C119" i="12"/>
  <c r="H113" i="12"/>
  <c r="C113" i="12"/>
  <c r="K106" i="12"/>
  <c r="E119" i="12"/>
  <c r="H119" i="12"/>
  <c r="E76" i="12"/>
  <c r="E143" i="12" s="1"/>
  <c r="H76" i="12"/>
  <c r="H143" i="12" s="1"/>
  <c r="M100" i="12"/>
  <c r="D113" i="12"/>
  <c r="I113" i="12"/>
  <c r="M122" i="12"/>
  <c r="E113" i="12"/>
  <c r="K113" i="12"/>
  <c r="M123" i="12"/>
  <c r="G113" i="12"/>
  <c r="L113" i="12"/>
  <c r="F57" i="24"/>
  <c r="D17" i="24"/>
  <c r="D18" i="24"/>
  <c r="N76" i="25"/>
  <c r="M75" i="1"/>
  <c r="M72" i="1"/>
  <c r="M63" i="1"/>
  <c r="M68" i="1"/>
  <c r="N13" i="15" l="1"/>
  <c r="M72" i="24"/>
  <c r="M40" i="15"/>
  <c r="C33" i="14" s="1"/>
  <c r="E78" i="12"/>
  <c r="E79" i="12" s="1"/>
  <c r="L78" i="12"/>
  <c r="L79" i="12" s="1"/>
  <c r="F78" i="12"/>
  <c r="F79" i="12" s="1"/>
  <c r="H78" i="12"/>
  <c r="F23" i="12"/>
  <c r="F29" i="12" s="1"/>
  <c r="F139" i="27"/>
  <c r="L23" i="12"/>
  <c r="L29" i="12" s="1"/>
  <c r="L139" i="27"/>
  <c r="G23" i="12"/>
  <c r="G29" i="12" s="1"/>
  <c r="G139" i="27"/>
  <c r="E23" i="12"/>
  <c r="E29" i="12" s="1"/>
  <c r="E139" i="27"/>
  <c r="H23" i="12"/>
  <c r="H29" i="12" s="1"/>
  <c r="H139" i="27"/>
  <c r="D23" i="12"/>
  <c r="D29" i="12" s="1"/>
  <c r="D139" i="27"/>
  <c r="I23" i="12"/>
  <c r="I29" i="12" s="1"/>
  <c r="I139" i="27"/>
  <c r="K23" i="12"/>
  <c r="K29" i="12" s="1"/>
  <c r="K139" i="27"/>
  <c r="L28" i="23"/>
  <c r="M28" i="23" s="1"/>
  <c r="K29" i="23"/>
  <c r="M145" i="12"/>
  <c r="I69" i="14" s="1"/>
  <c r="J44" i="12"/>
  <c r="M135" i="12"/>
  <c r="M145" i="1"/>
  <c r="F11" i="24"/>
  <c r="F13" i="24" s="1"/>
  <c r="F19" i="24" s="1"/>
  <c r="F26" i="24" s="1"/>
  <c r="K27" i="24"/>
  <c r="E11" i="24"/>
  <c r="E13" i="24" s="1"/>
  <c r="E19" i="24" s="1"/>
  <c r="E26" i="24" s="1"/>
  <c r="E28" i="24" s="1"/>
  <c r="E30" i="24" s="1"/>
  <c r="Q33" i="14"/>
  <c r="B79" i="14"/>
  <c r="K11" i="24"/>
  <c r="K13" i="24" s="1"/>
  <c r="D11" i="24"/>
  <c r="D13" i="24" s="1"/>
  <c r="L24" i="24"/>
  <c r="H13" i="24"/>
  <c r="L4" i="24"/>
  <c r="M4" i="24" s="1"/>
  <c r="G11" i="24"/>
  <c r="G13" i="24" s="1"/>
  <c r="D15" i="24"/>
  <c r="J11" i="24"/>
  <c r="J13" i="24" s="1"/>
  <c r="J19" i="24" s="1"/>
  <c r="J26" i="24" s="1"/>
  <c r="H18" i="24"/>
  <c r="H15" i="24" s="1"/>
  <c r="K17" i="24"/>
  <c r="K15" i="24" s="1"/>
  <c r="C11" i="24"/>
  <c r="C13" i="24" s="1"/>
  <c r="M10" i="24"/>
  <c r="G18" i="24"/>
  <c r="G15" i="24" s="1"/>
  <c r="L12" i="24"/>
  <c r="M12" i="24" s="1"/>
  <c r="M29" i="24"/>
  <c r="M23" i="24"/>
  <c r="M22" i="24"/>
  <c r="M16" i="24"/>
  <c r="L8" i="24"/>
  <c r="M8" i="24" s="1"/>
  <c r="B7" i="24"/>
  <c r="L7" i="24" s="1"/>
  <c r="M5" i="24"/>
  <c r="L3" i="24"/>
  <c r="L61" i="24"/>
  <c r="K66" i="24"/>
  <c r="K68" i="24" s="1"/>
  <c r="K69" i="24" s="1"/>
  <c r="L52" i="24"/>
  <c r="M52" i="24" s="1"/>
  <c r="D94" i="14"/>
  <c r="D95" i="14" s="1"/>
  <c r="M75" i="24"/>
  <c r="G83" i="14"/>
  <c r="G93" i="14" s="1"/>
  <c r="M127" i="12"/>
  <c r="G94" i="14" s="1"/>
  <c r="M17" i="12"/>
  <c r="M54" i="1"/>
  <c r="E15" i="22"/>
  <c r="E16" i="22"/>
  <c r="E8" i="22"/>
  <c r="E20" i="22"/>
  <c r="C21" i="12"/>
  <c r="B7" i="14"/>
  <c r="M58" i="1"/>
  <c r="M13" i="12"/>
  <c r="C79" i="12"/>
  <c r="M34" i="12"/>
  <c r="G117" i="12"/>
  <c r="G119" i="12" s="1"/>
  <c r="J57" i="24"/>
  <c r="J66" i="24" s="1"/>
  <c r="J68" i="24" s="1"/>
  <c r="J69" i="24" s="1"/>
  <c r="C57" i="24"/>
  <c r="N68" i="25"/>
  <c r="M72" i="12"/>
  <c r="N64" i="25"/>
  <c r="M124" i="12"/>
  <c r="B14" i="14"/>
  <c r="B17" i="24"/>
  <c r="C18" i="24"/>
  <c r="M120" i="12"/>
  <c r="M113" i="12"/>
  <c r="N66" i="1"/>
  <c r="M34" i="1"/>
  <c r="N34" i="15" l="1"/>
  <c r="N71" i="25"/>
  <c r="K31" i="23"/>
  <c r="L31" i="23" s="1"/>
  <c r="M31" i="23" s="1"/>
  <c r="L29" i="23"/>
  <c r="M29" i="23" s="1"/>
  <c r="C23" i="12"/>
  <c r="C132" i="12"/>
  <c r="J103" i="14" s="1"/>
  <c r="G140" i="12"/>
  <c r="B61" i="14" s="1"/>
  <c r="E139" i="12"/>
  <c r="F139" i="12"/>
  <c r="E56" i="14" s="1"/>
  <c r="F140" i="12"/>
  <c r="B54" i="14" s="1"/>
  <c r="L140" i="12"/>
  <c r="H140" i="12"/>
  <c r="I140" i="12"/>
  <c r="H139" i="12"/>
  <c r="L139" i="12"/>
  <c r="E140" i="12"/>
  <c r="I139" i="12"/>
  <c r="G139" i="12"/>
  <c r="E63" i="14" s="1"/>
  <c r="K36" i="12"/>
  <c r="K140" i="12"/>
  <c r="B56" i="14" s="1"/>
  <c r="K139" i="12"/>
  <c r="E62" i="14" s="1"/>
  <c r="G19" i="24"/>
  <c r="G26" i="24" s="1"/>
  <c r="D19" i="24"/>
  <c r="D26" i="24" s="1"/>
  <c r="K19" i="24"/>
  <c r="K26" i="24" s="1"/>
  <c r="K28" i="24" s="1"/>
  <c r="K30" i="24" s="1"/>
  <c r="M24" i="24"/>
  <c r="B11" i="24"/>
  <c r="L11" i="24" s="1"/>
  <c r="H19" i="24"/>
  <c r="H26" i="24" s="1"/>
  <c r="L17" i="24"/>
  <c r="B15" i="24"/>
  <c r="M57" i="1"/>
  <c r="M61" i="24"/>
  <c r="L18" i="24"/>
  <c r="C15" i="24"/>
  <c r="M7" i="24"/>
  <c r="M3" i="24"/>
  <c r="D66" i="12"/>
  <c r="C53" i="24"/>
  <c r="C66" i="24"/>
  <c r="G95" i="14"/>
  <c r="I76" i="12"/>
  <c r="I143" i="12" s="1"/>
  <c r="H57" i="24"/>
  <c r="H66" i="24" s="1"/>
  <c r="I57" i="12"/>
  <c r="G104" i="14" s="1"/>
  <c r="G109" i="14" s="1"/>
  <c r="H47" i="24"/>
  <c r="K12" i="14"/>
  <c r="O54" i="1"/>
  <c r="K16" i="14"/>
  <c r="L30" i="14"/>
  <c r="D18" i="22"/>
  <c r="L132" i="12"/>
  <c r="J105" i="14" s="1"/>
  <c r="F132" i="12"/>
  <c r="J108" i="14" s="1"/>
  <c r="I132" i="12"/>
  <c r="J101" i="14" s="1"/>
  <c r="M21" i="12"/>
  <c r="K132" i="12"/>
  <c r="J102" i="14" s="1"/>
  <c r="G132" i="12"/>
  <c r="J107" i="14" s="1"/>
  <c r="G36" i="12"/>
  <c r="E132" i="12"/>
  <c r="J99" i="14" s="1"/>
  <c r="F36" i="12"/>
  <c r="F38" i="12" s="1"/>
  <c r="F40" i="12" s="1"/>
  <c r="B11" i="14"/>
  <c r="D11" i="22"/>
  <c r="I117" i="12"/>
  <c r="I119" i="12" s="1"/>
  <c r="K76" i="12"/>
  <c r="K143" i="12" s="1"/>
  <c r="K117" i="12"/>
  <c r="K119" i="12" s="1"/>
  <c r="M58" i="12"/>
  <c r="M64" i="12"/>
  <c r="D117" i="12"/>
  <c r="D119" i="12" s="1"/>
  <c r="M68" i="12"/>
  <c r="D76" i="12"/>
  <c r="D143" i="12" s="1"/>
  <c r="M28" i="12"/>
  <c r="D140" i="12"/>
  <c r="C25" i="12"/>
  <c r="C140" i="12" s="1"/>
  <c r="M27" i="12"/>
  <c r="D78" i="12" l="1"/>
  <c r="D79" i="12" s="1"/>
  <c r="K78" i="12"/>
  <c r="K79" i="12" s="1"/>
  <c r="C139" i="27"/>
  <c r="G111" i="14"/>
  <c r="N19" i="14"/>
  <c r="B60" i="14"/>
  <c r="B59" i="14"/>
  <c r="D139" i="12"/>
  <c r="B55" i="14"/>
  <c r="C139" i="12"/>
  <c r="I146" i="12"/>
  <c r="I136" i="12" s="1"/>
  <c r="F104" i="14" s="1"/>
  <c r="M23" i="12"/>
  <c r="E57" i="14"/>
  <c r="I36" i="12"/>
  <c r="B13" i="24"/>
  <c r="L13" i="24" s="1"/>
  <c r="E58" i="14"/>
  <c r="L36" i="12"/>
  <c r="L38" i="12" s="1"/>
  <c r="E55" i="14"/>
  <c r="H36" i="12"/>
  <c r="H25" i="14"/>
  <c r="L15" i="24"/>
  <c r="F12" i="14"/>
  <c r="F17" i="14" s="1"/>
  <c r="M66" i="1"/>
  <c r="M17" i="24"/>
  <c r="C19" i="24"/>
  <c r="C26" i="24" s="1"/>
  <c r="M18" i="24"/>
  <c r="M11" i="24"/>
  <c r="M57" i="12"/>
  <c r="I66" i="12"/>
  <c r="L57" i="24"/>
  <c r="L53" i="24"/>
  <c r="M53" i="24" s="1"/>
  <c r="C55" i="24"/>
  <c r="H46" i="24"/>
  <c r="H55" i="24"/>
  <c r="H68" i="24" s="1"/>
  <c r="H69" i="24" s="1"/>
  <c r="L47" i="24"/>
  <c r="L46" i="24" s="1"/>
  <c r="K9" i="14"/>
  <c r="K13" i="14"/>
  <c r="K14" i="14"/>
  <c r="K11" i="14"/>
  <c r="E18" i="22"/>
  <c r="E61" i="14"/>
  <c r="E11" i="22"/>
  <c r="F160" i="12"/>
  <c r="M85" i="14" s="1"/>
  <c r="F159" i="12"/>
  <c r="H54" i="14" s="1"/>
  <c r="D132" i="12"/>
  <c r="J100" i="14" s="1"/>
  <c r="M117" i="12"/>
  <c r="M25" i="12"/>
  <c r="M139" i="27" s="1"/>
  <c r="C29" i="12"/>
  <c r="B63" i="14" s="1"/>
  <c r="B58" i="14"/>
  <c r="I78" i="12" l="1"/>
  <c r="I79" i="12" s="1"/>
  <c r="L40" i="12"/>
  <c r="L159" i="12" s="1"/>
  <c r="H58" i="14" s="1"/>
  <c r="F19" i="14"/>
  <c r="M140" i="12"/>
  <c r="M119" i="12"/>
  <c r="M13" i="24"/>
  <c r="M146" i="12"/>
  <c r="M136" i="12" s="1"/>
  <c r="M139" i="12"/>
  <c r="B19" i="24"/>
  <c r="B26" i="24" s="1"/>
  <c r="M66" i="12"/>
  <c r="M15" i="24"/>
  <c r="O18" i="14"/>
  <c r="M19" i="14"/>
  <c r="C68" i="24"/>
  <c r="C69" i="24" s="1"/>
  <c r="L55" i="24"/>
  <c r="M57" i="24"/>
  <c r="M47" i="24"/>
  <c r="M46" i="24"/>
  <c r="D26" i="14"/>
  <c r="G9" i="14"/>
  <c r="G13" i="14"/>
  <c r="E36" i="12"/>
  <c r="B62" i="14"/>
  <c r="M29" i="12"/>
  <c r="G16" i="14"/>
  <c r="G14" i="14"/>
  <c r="G8" i="14"/>
  <c r="G15" i="14"/>
  <c r="G11" i="14"/>
  <c r="G7" i="14"/>
  <c r="G10" i="14"/>
  <c r="G12" i="14"/>
  <c r="C36" i="12"/>
  <c r="E54" i="14"/>
  <c r="D36" i="12"/>
  <c r="E59" i="14"/>
  <c r="D25" i="1"/>
  <c r="L123" i="1"/>
  <c r="K123" i="1"/>
  <c r="I123" i="1"/>
  <c r="H123" i="1"/>
  <c r="G123" i="1"/>
  <c r="E123" i="1"/>
  <c r="D123" i="1"/>
  <c r="C123" i="1"/>
  <c r="L122" i="1"/>
  <c r="K122" i="1"/>
  <c r="I122" i="1"/>
  <c r="I124" i="1" s="1"/>
  <c r="H122" i="1"/>
  <c r="G122" i="1"/>
  <c r="E122" i="1"/>
  <c r="D122" i="1"/>
  <c r="D124" i="1" s="1"/>
  <c r="C122" i="1"/>
  <c r="M118" i="1"/>
  <c r="L118" i="1"/>
  <c r="K118" i="1"/>
  <c r="I118" i="1"/>
  <c r="H118" i="1"/>
  <c r="G118" i="1"/>
  <c r="E118" i="1"/>
  <c r="D118" i="1"/>
  <c r="C118" i="1"/>
  <c r="I117" i="1"/>
  <c r="H117" i="1"/>
  <c r="C117" i="1"/>
  <c r="L112" i="1"/>
  <c r="K112" i="1"/>
  <c r="I112" i="1"/>
  <c r="H112" i="1"/>
  <c r="G112" i="1"/>
  <c r="E112" i="1"/>
  <c r="D112" i="1"/>
  <c r="C112" i="1"/>
  <c r="L111" i="1"/>
  <c r="K111" i="1"/>
  <c r="I111" i="1"/>
  <c r="H111" i="1"/>
  <c r="G111" i="1"/>
  <c r="E111" i="1"/>
  <c r="D111" i="1"/>
  <c r="C111" i="1"/>
  <c r="M108" i="1"/>
  <c r="L108" i="1"/>
  <c r="K108" i="1"/>
  <c r="I108" i="1"/>
  <c r="H108" i="1"/>
  <c r="G108" i="1"/>
  <c r="E108" i="1"/>
  <c r="D108" i="1"/>
  <c r="C108" i="1"/>
  <c r="M105" i="1"/>
  <c r="L105" i="1"/>
  <c r="K105" i="1"/>
  <c r="I105" i="1"/>
  <c r="H105" i="1"/>
  <c r="G105" i="1"/>
  <c r="E105" i="1"/>
  <c r="D105" i="1"/>
  <c r="C105" i="1"/>
  <c r="M104" i="1"/>
  <c r="L104" i="1"/>
  <c r="K104" i="1"/>
  <c r="I104" i="1"/>
  <c r="H104" i="1"/>
  <c r="G104" i="1"/>
  <c r="E104" i="1"/>
  <c r="D104" i="1"/>
  <c r="C104" i="1"/>
  <c r="M91" i="1"/>
  <c r="M87" i="1"/>
  <c r="M86" i="1"/>
  <c r="L85" i="1"/>
  <c r="K85" i="1"/>
  <c r="I85" i="1"/>
  <c r="H85" i="1"/>
  <c r="G85" i="1"/>
  <c r="E85" i="1"/>
  <c r="D85" i="1"/>
  <c r="C85" i="1"/>
  <c r="M84" i="1"/>
  <c r="M83" i="1"/>
  <c r="L82" i="1"/>
  <c r="K82" i="1"/>
  <c r="I82" i="1"/>
  <c r="H82" i="1"/>
  <c r="G82" i="1"/>
  <c r="D82" i="1"/>
  <c r="C82" i="1"/>
  <c r="I76" i="1"/>
  <c r="L117" i="1"/>
  <c r="D117" i="1"/>
  <c r="H76" i="1"/>
  <c r="K117" i="1"/>
  <c r="G117" i="1"/>
  <c r="D44" i="1"/>
  <c r="E44" i="1" s="1"/>
  <c r="F44" i="1" s="1"/>
  <c r="G44" i="1" s="1"/>
  <c r="H44" i="1" s="1"/>
  <c r="I44" i="1" s="1"/>
  <c r="J44" i="1" s="1"/>
  <c r="K44" i="1" s="1"/>
  <c r="L44" i="1" s="1"/>
  <c r="M44" i="1" s="1"/>
  <c r="D27" i="24"/>
  <c r="D28" i="24" s="1"/>
  <c r="D30" i="24" s="1"/>
  <c r="C27" i="24"/>
  <c r="C28" i="24" s="1"/>
  <c r="C30" i="24" s="1"/>
  <c r="E34" i="1"/>
  <c r="D34" i="1"/>
  <c r="C34" i="1"/>
  <c r="D17" i="1"/>
  <c r="C17" i="1"/>
  <c r="C13" i="1"/>
  <c r="L160" i="12" l="1"/>
  <c r="M87" i="14" s="1"/>
  <c r="G17" i="14"/>
  <c r="L19" i="24"/>
  <c r="M19" i="24" s="1"/>
  <c r="M55" i="24"/>
  <c r="G38" i="12"/>
  <c r="F27" i="24"/>
  <c r="F28" i="24" s="1"/>
  <c r="F30" i="24" s="1"/>
  <c r="H38" i="12"/>
  <c r="G27" i="24"/>
  <c r="G28" i="24" s="1"/>
  <c r="G30" i="24" s="1"/>
  <c r="I38" i="12"/>
  <c r="H27" i="24"/>
  <c r="H28" i="24" s="1"/>
  <c r="H30" i="24" s="1"/>
  <c r="K38" i="12"/>
  <c r="J27" i="24"/>
  <c r="J28" i="24" s="1"/>
  <c r="J30" i="24" s="1"/>
  <c r="B48" i="14"/>
  <c r="B50" i="14" s="1"/>
  <c r="L26" i="24"/>
  <c r="C48" i="14"/>
  <c r="K48" i="14"/>
  <c r="K50" i="14" s="1"/>
  <c r="L124" i="1"/>
  <c r="E38" i="12"/>
  <c r="D120" i="1"/>
  <c r="D127" i="1"/>
  <c r="G120" i="1"/>
  <c r="G127" i="1"/>
  <c r="L120" i="1"/>
  <c r="L127" i="1"/>
  <c r="I120" i="1"/>
  <c r="I127" i="1"/>
  <c r="E120" i="1"/>
  <c r="E127" i="1"/>
  <c r="K120" i="1"/>
  <c r="K127" i="1"/>
  <c r="C120" i="1"/>
  <c r="C127" i="1"/>
  <c r="H120" i="1"/>
  <c r="H127" i="1"/>
  <c r="M36" i="12"/>
  <c r="M37" i="1"/>
  <c r="D38" i="12"/>
  <c r="D40" i="12" s="1"/>
  <c r="C25" i="1"/>
  <c r="C124" i="1"/>
  <c r="H124" i="1"/>
  <c r="E124" i="1"/>
  <c r="D106" i="1"/>
  <c r="I106" i="1"/>
  <c r="M106" i="1"/>
  <c r="H119" i="1"/>
  <c r="I119" i="1"/>
  <c r="G106" i="1"/>
  <c r="K106" i="1"/>
  <c r="C106" i="1"/>
  <c r="H106" i="1"/>
  <c r="L106" i="1"/>
  <c r="O66" i="1"/>
  <c r="M85" i="1"/>
  <c r="E106" i="1"/>
  <c r="M123" i="1"/>
  <c r="G124" i="1"/>
  <c r="K124" i="1"/>
  <c r="L119" i="1"/>
  <c r="K119" i="1"/>
  <c r="G119" i="1"/>
  <c r="D119" i="1"/>
  <c r="C119" i="1"/>
  <c r="E21" i="1"/>
  <c r="E23" i="1" s="1"/>
  <c r="C21" i="1"/>
  <c r="D21" i="1"/>
  <c r="D76" i="1"/>
  <c r="E82" i="1"/>
  <c r="K76" i="1"/>
  <c r="M82" i="1"/>
  <c r="L76" i="1"/>
  <c r="M111" i="1"/>
  <c r="D113" i="1"/>
  <c r="I113" i="1"/>
  <c r="M122" i="1"/>
  <c r="E113" i="1"/>
  <c r="M112" i="1"/>
  <c r="G113" i="1"/>
  <c r="K113" i="1"/>
  <c r="C113" i="1"/>
  <c r="H113" i="1"/>
  <c r="L113" i="1"/>
  <c r="N37" i="15" l="1"/>
  <c r="G40" i="12"/>
  <c r="G159" i="12" s="1"/>
  <c r="H63" i="14" s="1"/>
  <c r="K40" i="12"/>
  <c r="K159" i="12" s="1"/>
  <c r="H62" i="14" s="1"/>
  <c r="I40" i="12"/>
  <c r="I159" i="12" s="1"/>
  <c r="H57" i="14" s="1"/>
  <c r="E40" i="12"/>
  <c r="E159" i="12" s="1"/>
  <c r="H61" i="14" s="1"/>
  <c r="H40" i="12"/>
  <c r="E29" i="1"/>
  <c r="G24" i="14" s="1"/>
  <c r="K27" i="14"/>
  <c r="C38" i="12"/>
  <c r="C40" i="12" s="1"/>
  <c r="B27" i="24"/>
  <c r="M26" i="24"/>
  <c r="M120" i="1"/>
  <c r="D7" i="22"/>
  <c r="D160" i="12"/>
  <c r="M84" i="14" s="1"/>
  <c r="D159" i="12"/>
  <c r="H59" i="14" s="1"/>
  <c r="M21" i="1"/>
  <c r="M37" i="12"/>
  <c r="M113" i="1"/>
  <c r="M124" i="1"/>
  <c r="M17" i="1"/>
  <c r="E117" i="1"/>
  <c r="E119" i="1" s="1"/>
  <c r="L28" i="14"/>
  <c r="L78" i="1"/>
  <c r="E76" i="1"/>
  <c r="D23" i="1"/>
  <c r="K25" i="14" s="1"/>
  <c r="C23" i="1"/>
  <c r="K22" i="14" s="1"/>
  <c r="M25" i="1"/>
  <c r="I78" i="1"/>
  <c r="I79" i="1" s="1"/>
  <c r="D78" i="1"/>
  <c r="D79" i="1" s="1"/>
  <c r="H78" i="1"/>
  <c r="H79" i="1" s="1"/>
  <c r="C78" i="1"/>
  <c r="K78" i="1"/>
  <c r="N21" i="15" l="1"/>
  <c r="N25" i="15"/>
  <c r="C50" i="14"/>
  <c r="N17" i="15"/>
  <c r="I160" i="12"/>
  <c r="M88" i="14" s="1"/>
  <c r="E160" i="12"/>
  <c r="M92" i="14" s="1"/>
  <c r="K160" i="12"/>
  <c r="M91" i="14" s="1"/>
  <c r="H160" i="12"/>
  <c r="M83" i="14" s="1"/>
  <c r="D21" i="22"/>
  <c r="M38" i="12"/>
  <c r="L27" i="24"/>
  <c r="M27" i="24" s="1"/>
  <c r="B28" i="24"/>
  <c r="C79" i="1"/>
  <c r="E7" i="22"/>
  <c r="D9" i="22"/>
  <c r="C160" i="12"/>
  <c r="M86" i="14" s="1"/>
  <c r="C159" i="12"/>
  <c r="H55" i="14" s="1"/>
  <c r="L23" i="14"/>
  <c r="M23" i="1"/>
  <c r="L26" i="14"/>
  <c r="D29" i="1"/>
  <c r="G23" i="14" s="1"/>
  <c r="D10" i="22"/>
  <c r="L29" i="14"/>
  <c r="D31" i="14"/>
  <c r="L31" i="14"/>
  <c r="L79" i="1"/>
  <c r="M117" i="1"/>
  <c r="C29" i="1"/>
  <c r="G22" i="14" s="1"/>
  <c r="D28" i="14"/>
  <c r="K79" i="1"/>
  <c r="D23" i="14"/>
  <c r="E78" i="1"/>
  <c r="D24" i="14"/>
  <c r="N23" i="15" l="1"/>
  <c r="M40" i="12"/>
  <c r="E21" i="22"/>
  <c r="L33" i="14"/>
  <c r="L28" i="24"/>
  <c r="M28" i="24" s="1"/>
  <c r="B30" i="24"/>
  <c r="L30" i="24" s="1"/>
  <c r="J32" i="14"/>
  <c r="G48" i="14"/>
  <c r="G50" i="14" s="1"/>
  <c r="K32" i="14"/>
  <c r="K34" i="14" s="1"/>
  <c r="M119" i="1"/>
  <c r="E10" i="22"/>
  <c r="L25" i="14"/>
  <c r="E9" i="22"/>
  <c r="L27" i="14"/>
  <c r="L22" i="14"/>
  <c r="E36" i="1"/>
  <c r="E38" i="1" s="1"/>
  <c r="E40" i="1" s="1"/>
  <c r="C29" i="14" s="1"/>
  <c r="D36" i="1"/>
  <c r="D38" i="1" s="1"/>
  <c r="D40" i="1" s="1"/>
  <c r="C27" i="14" s="1"/>
  <c r="H26" i="14"/>
  <c r="G139" i="1"/>
  <c r="G140" i="1"/>
  <c r="H27" i="14"/>
  <c r="H139" i="1"/>
  <c r="H140" i="1"/>
  <c r="H31" i="14"/>
  <c r="L140" i="1"/>
  <c r="L139" i="1"/>
  <c r="C139" i="1"/>
  <c r="C140" i="1"/>
  <c r="H30" i="14"/>
  <c r="K140" i="1"/>
  <c r="K139" i="1"/>
  <c r="H28" i="14"/>
  <c r="I139" i="1"/>
  <c r="I140" i="1"/>
  <c r="D139" i="1"/>
  <c r="D140" i="1"/>
  <c r="E140" i="1"/>
  <c r="E139" i="1"/>
  <c r="D30" i="14"/>
  <c r="M29" i="1"/>
  <c r="C36" i="1"/>
  <c r="N29" i="15" l="1"/>
  <c r="M30" i="24"/>
  <c r="F32" i="14"/>
  <c r="J34" i="14"/>
  <c r="J48" i="14"/>
  <c r="F48" i="14"/>
  <c r="G32" i="14"/>
  <c r="G34" i="14" s="1"/>
  <c r="L32" i="14"/>
  <c r="H23" i="14"/>
  <c r="H22" i="14"/>
  <c r="H24" i="14"/>
  <c r="D6" i="22"/>
  <c r="M139" i="1"/>
  <c r="M140" i="1"/>
  <c r="M36" i="1"/>
  <c r="C38" i="1"/>
  <c r="M38" i="1" s="1"/>
  <c r="N38" i="15" l="1"/>
  <c r="N36" i="15"/>
  <c r="J50" i="14"/>
  <c r="F34" i="14"/>
  <c r="F50" i="14"/>
  <c r="D27" i="14"/>
  <c r="D29" i="14"/>
  <c r="E6" i="22"/>
  <c r="D14" i="22"/>
  <c r="D13" i="22"/>
  <c r="E13" i="22" s="1"/>
  <c r="M40" i="1"/>
  <c r="C40" i="1"/>
  <c r="C22" i="14" s="1"/>
  <c r="N40" i="15" l="1"/>
  <c r="B32" i="14"/>
  <c r="L48" i="14"/>
  <c r="L50" i="14" s="1"/>
  <c r="D33" i="14"/>
  <c r="D12" i="22"/>
  <c r="E14" i="22"/>
  <c r="C32" i="14"/>
  <c r="C34" i="14" s="1"/>
  <c r="D32" i="14" l="1"/>
  <c r="B34" i="14"/>
  <c r="E12" i="22"/>
  <c r="D22" i="14"/>
  <c r="E79" i="1"/>
  <c r="D17" i="22"/>
  <c r="K15" i="14" l="1"/>
  <c r="E17" i="22"/>
  <c r="D5" i="22"/>
  <c r="D19" i="22"/>
  <c r="E19" i="22" l="1"/>
  <c r="H54" i="12"/>
  <c r="M54" i="27"/>
  <c r="K18" i="14" l="1"/>
  <c r="E5" i="22"/>
  <c r="M79" i="27"/>
  <c r="B10" i="14"/>
  <c r="H79" i="12"/>
  <c r="H142" i="12"/>
  <c r="M54" i="12" l="1"/>
  <c r="G43" i="24"/>
  <c r="L43" i="24" s="1"/>
  <c r="H159" i="12"/>
  <c r="H56" i="14" s="1"/>
  <c r="H132" i="12"/>
  <c r="J104" i="14" s="1"/>
  <c r="M142" i="12" l="1"/>
  <c r="B17" i="14"/>
  <c r="M43" i="24"/>
  <c r="D13" i="14" l="1"/>
  <c r="D14" i="14"/>
  <c r="D9" i="14"/>
  <c r="D11" i="14"/>
  <c r="D7" i="14"/>
  <c r="D12" i="14"/>
  <c r="B19" i="14"/>
  <c r="D15" i="14"/>
  <c r="D16" i="14"/>
  <c r="D8" i="14"/>
  <c r="D10" i="14"/>
  <c r="M159" i="12"/>
  <c r="M132" i="12"/>
  <c r="J17" i="14"/>
  <c r="J19" i="14" s="1"/>
  <c r="H79" i="27"/>
  <c r="C102" i="14"/>
  <c r="C109" i="14" s="1"/>
  <c r="C111" i="14" s="1"/>
  <c r="H77" i="14"/>
  <c r="H79" i="14" s="1"/>
  <c r="E77" i="14"/>
  <c r="E79" i="14" s="1"/>
  <c r="H145" i="27"/>
  <c r="K10" i="14" l="1"/>
  <c r="I17" i="14"/>
  <c r="K17" i="14" l="1"/>
  <c r="I19" i="14"/>
  <c r="M71" i="1" l="1"/>
  <c r="M76" i="1" s="1"/>
  <c r="G76" i="1"/>
  <c r="N76" i="1" s="1"/>
  <c r="M71" i="12"/>
  <c r="G78" i="1" l="1"/>
  <c r="G79" i="1" s="1"/>
  <c r="F60" i="24"/>
  <c r="L60" i="24" s="1"/>
  <c r="L66" i="24" s="1"/>
  <c r="M78" i="1"/>
  <c r="O76" i="1"/>
  <c r="M76" i="12"/>
  <c r="G76" i="12"/>
  <c r="G143" i="12" s="1"/>
  <c r="M143" i="12" l="1"/>
  <c r="F66" i="24"/>
  <c r="F68" i="24" s="1"/>
  <c r="M60" i="24"/>
  <c r="N78" i="1"/>
  <c r="O78" i="1" s="1"/>
  <c r="M78" i="12"/>
  <c r="M66" i="24"/>
  <c r="M160" i="12"/>
  <c r="G78" i="12"/>
  <c r="G79" i="12" s="1"/>
  <c r="G160" i="12"/>
  <c r="M89" i="14" s="1"/>
  <c r="M79" i="1"/>
  <c r="L68" i="24" l="1"/>
  <c r="L69" i="24" s="1"/>
  <c r="F69" i="24"/>
  <c r="M79" i="12"/>
  <c r="M68" i="24" l="1"/>
  <c r="M69" i="24" s="1"/>
</calcChain>
</file>

<file path=xl/sharedStrings.xml><?xml version="1.0" encoding="utf-8"?>
<sst xmlns="http://schemas.openxmlformats.org/spreadsheetml/2006/main" count="1555" uniqueCount="194">
  <si>
    <t>ZMK</t>
  </si>
  <si>
    <t>USD</t>
  </si>
  <si>
    <t>ZAR</t>
  </si>
  <si>
    <t>INCOME STATEMENTS</t>
  </si>
  <si>
    <t>Total</t>
  </si>
  <si>
    <t>Actual</t>
  </si>
  <si>
    <t>Interest and similar Income</t>
  </si>
  <si>
    <t>Loans, Advances &amp; Overdrafts</t>
  </si>
  <si>
    <t>Other</t>
  </si>
  <si>
    <t>Interest Expense</t>
  </si>
  <si>
    <t>Deposits from customers</t>
  </si>
  <si>
    <t>Balances due to Other Banks</t>
  </si>
  <si>
    <t>Net interest income before impairment charges</t>
  </si>
  <si>
    <t>Loan loss expense</t>
  </si>
  <si>
    <t>Net Interest Margin</t>
  </si>
  <si>
    <t>Other Income (NIR)</t>
  </si>
  <si>
    <t>Fees and commisions</t>
  </si>
  <si>
    <t>Other income</t>
  </si>
  <si>
    <t>Total income</t>
  </si>
  <si>
    <t>Non interest expenditure</t>
  </si>
  <si>
    <t>Depreciation</t>
  </si>
  <si>
    <t>Other expenses</t>
  </si>
  <si>
    <t>Total Non interest expenditure</t>
  </si>
  <si>
    <t>Income before taxes and extraordinary items</t>
  </si>
  <si>
    <t>Extraordinary item</t>
  </si>
  <si>
    <t>Profit Before Taxation</t>
  </si>
  <si>
    <t>Taxation</t>
  </si>
  <si>
    <t>Profit After Taxation</t>
  </si>
  <si>
    <t>BALANCE SHEETS</t>
  </si>
  <si>
    <t>ASSETS</t>
  </si>
  <si>
    <t>Total Assets</t>
  </si>
  <si>
    <t>LIABILITIES</t>
  </si>
  <si>
    <t>Other borrowed funds</t>
  </si>
  <si>
    <t>Total Liabilities</t>
  </si>
  <si>
    <t>Share capital and share premium</t>
  </si>
  <si>
    <t>Statutory reserve</t>
  </si>
  <si>
    <t>Eligible preference shares and share premium</t>
  </si>
  <si>
    <t>Retained income</t>
  </si>
  <si>
    <t>Equity</t>
  </si>
  <si>
    <t>Total Liabilities &amp; Equity</t>
  </si>
  <si>
    <t>Undrawn commitments</t>
  </si>
  <si>
    <t>Acceptances, letters of credit and Guarantees</t>
  </si>
  <si>
    <t>Total Off Balance Sheet</t>
  </si>
  <si>
    <t>Non-performing loans</t>
  </si>
  <si>
    <t>Number of employees (average)</t>
  </si>
  <si>
    <t>Footprint</t>
  </si>
  <si>
    <t>- main branches</t>
  </si>
  <si>
    <t>-Other retail outlets</t>
  </si>
  <si>
    <t>Number of ATMs</t>
  </si>
  <si>
    <t>POS</t>
  </si>
  <si>
    <t>Executive managementy</t>
  </si>
  <si>
    <t>Number of employees (ye)</t>
  </si>
  <si>
    <t>CAR and Capital requirement - ZMK'000</t>
  </si>
  <si>
    <t>Total RWA - Basel 1</t>
  </si>
  <si>
    <t>Qualifying Capital</t>
  </si>
  <si>
    <t>Tier 1</t>
  </si>
  <si>
    <t>Tier 2</t>
  </si>
  <si>
    <t>Total Qualifying Capital</t>
  </si>
  <si>
    <t xml:space="preserve">Dividend calculation </t>
  </si>
  <si>
    <t>Excess capital</t>
  </si>
  <si>
    <t>Dividend payout ratio</t>
  </si>
  <si>
    <t>Dividend</t>
  </si>
  <si>
    <t>Qualifying Capital adequacy before additional</t>
  </si>
  <si>
    <t>Qualifying Capital adequacy after additional</t>
  </si>
  <si>
    <t>CAR -Basel 1</t>
  </si>
  <si>
    <t>Bayport</t>
  </si>
  <si>
    <t>EFC</t>
  </si>
  <si>
    <t>Finca</t>
  </si>
  <si>
    <t>Microfinance</t>
  </si>
  <si>
    <t>MyBucks</t>
  </si>
  <si>
    <t>Vision Fund</t>
  </si>
  <si>
    <t>ZNBS</t>
  </si>
  <si>
    <t>Cash &amp; Balances with banks &amp; institutions in Zambia</t>
  </si>
  <si>
    <t>Investments in securities</t>
  </si>
  <si>
    <t>Gross loans &amp; Advances</t>
  </si>
  <si>
    <t>Less Allowances</t>
  </si>
  <si>
    <t>Deposits/Money Market Instruments</t>
  </si>
  <si>
    <t>Fixed assets</t>
  </si>
  <si>
    <t>Other Assets</t>
  </si>
  <si>
    <t>Balances due to banks &amp; institutions in zambia</t>
  </si>
  <si>
    <t>Other liabilities</t>
  </si>
  <si>
    <t>Net Loans &amp; Advances</t>
  </si>
  <si>
    <t>Madison Finance</t>
  </si>
  <si>
    <t>LOLC Finance</t>
  </si>
  <si>
    <t>Current Quarter</t>
  </si>
  <si>
    <t>Current Year</t>
  </si>
  <si>
    <t>% Change</t>
  </si>
  <si>
    <t>NIM</t>
  </si>
  <si>
    <t>Gross yield</t>
  </si>
  <si>
    <t>Cost of funds</t>
  </si>
  <si>
    <t>Spread</t>
  </si>
  <si>
    <t>Efficiency ratios</t>
  </si>
  <si>
    <t>Cost/Income</t>
  </si>
  <si>
    <t>NIR/Total income</t>
  </si>
  <si>
    <t>Credit metrics</t>
  </si>
  <si>
    <t>Credit cost</t>
  </si>
  <si>
    <t>RWA/Total assets</t>
  </si>
  <si>
    <t>Balance sheet ratios</t>
  </si>
  <si>
    <t>Net loans/Total assets</t>
  </si>
  <si>
    <t>cash/Total deposits</t>
  </si>
  <si>
    <t xml:space="preserve">Liquid assets/Total deposits </t>
  </si>
  <si>
    <t>Liquid assets/ net Loans and Advances</t>
  </si>
  <si>
    <t>Liquid assets/IEA</t>
  </si>
  <si>
    <t>Net loans/total deposits</t>
  </si>
  <si>
    <t>Avg equity/ Avg total assets</t>
  </si>
  <si>
    <t>Avg IEA/Avg total assets</t>
  </si>
  <si>
    <t>Avg IBL/Avg total liabilites</t>
  </si>
  <si>
    <t>Return metrics</t>
  </si>
  <si>
    <t>ROAA</t>
  </si>
  <si>
    <t>ROAE</t>
  </si>
  <si>
    <t>Margin metrics</t>
  </si>
  <si>
    <t>Composite effective rate on loans</t>
  </si>
  <si>
    <t>Composite effective rate on deposits</t>
  </si>
  <si>
    <t>Foreign exchange income</t>
  </si>
  <si>
    <t>Cash/Total assets</t>
  </si>
  <si>
    <t>Net loans/deposit ratio</t>
  </si>
  <si>
    <t>EFFECIENCY</t>
  </si>
  <si>
    <t>INCOME STATEMENT</t>
  </si>
  <si>
    <t>BALANCE SHEET</t>
  </si>
  <si>
    <t>CREDIT</t>
  </si>
  <si>
    <t>Impairment Charges</t>
  </si>
  <si>
    <t>Loans &amp; Advances</t>
  </si>
  <si>
    <t>CAPITAL</t>
  </si>
  <si>
    <t>CAR%</t>
  </si>
  <si>
    <t>ROE %</t>
  </si>
  <si>
    <t>LOANS &amp; DEPOSITS YIELD</t>
  </si>
  <si>
    <t>Capital Surplus</t>
  </si>
  <si>
    <t>% Share</t>
  </si>
  <si>
    <t>Gross loans</t>
  </si>
  <si>
    <t>Allowances</t>
  </si>
  <si>
    <t>Impairments as %</t>
  </si>
  <si>
    <t>deposits</t>
  </si>
  <si>
    <t>Total Income</t>
  </si>
  <si>
    <t>Total Interest Income</t>
  </si>
  <si>
    <t>Total Interest Expenditure</t>
  </si>
  <si>
    <t>Total Non-Interest Income</t>
  </si>
  <si>
    <t>Total Non-Interest Expenditure</t>
  </si>
  <si>
    <t>Overall Profit After Tax</t>
  </si>
  <si>
    <t>Total Gross Loans &amp; Advances</t>
  </si>
  <si>
    <t>Total Allowances</t>
  </si>
  <si>
    <t>Total Net Loans &amp; Advances</t>
  </si>
  <si>
    <t>Total Deposits/Money Market Instruments</t>
  </si>
  <si>
    <t>Overall Income Diversity</t>
  </si>
  <si>
    <t>Overall Cost to Income Ratio</t>
  </si>
  <si>
    <t>Previous Quarter</t>
  </si>
  <si>
    <t>Total Interest  Inc. From Loans, Advances &amp; Overdrafts</t>
  </si>
  <si>
    <t>Overall Credit Cost</t>
  </si>
  <si>
    <t>Values in K000 Except Percentages</t>
  </si>
  <si>
    <t>Regulatory minimum capital</t>
  </si>
  <si>
    <t>Surplus(Deficiency)</t>
  </si>
  <si>
    <t>15% or 10% of total risk weighted assests</t>
  </si>
  <si>
    <t>Total Risk Weighted Assets</t>
  </si>
  <si>
    <t>Overall CAR %</t>
  </si>
  <si>
    <t>Cumulative Quarters</t>
  </si>
  <si>
    <t>Average Assets</t>
  </si>
  <si>
    <t>Average Equities</t>
  </si>
  <si>
    <t>Average Loans</t>
  </si>
  <si>
    <t>NIM %</t>
  </si>
  <si>
    <t>Average Deposits</t>
  </si>
  <si>
    <t>Comp. Interest Rate</t>
  </si>
  <si>
    <t>Deposits/Money Market Instr.</t>
  </si>
  <si>
    <t>Natsave</t>
  </si>
  <si>
    <t>Risk Weighted Assets</t>
  </si>
  <si>
    <t xml:space="preserve"> </t>
  </si>
  <si>
    <t>Quarter end date</t>
  </si>
  <si>
    <t>15% of total risk weighted assests</t>
  </si>
  <si>
    <t>Loans and other advances</t>
  </si>
  <si>
    <t>Deposits Money Market instruments</t>
  </si>
  <si>
    <t>All other</t>
  </si>
  <si>
    <t>Provision for loan losses</t>
  </si>
  <si>
    <t>Net interest income after impairment charges</t>
  </si>
  <si>
    <t>Commissions, fees and service charges</t>
  </si>
  <si>
    <t>Foreign exchange gains (losses)</t>
  </si>
  <si>
    <t>Non-interest income (NIR)</t>
  </si>
  <si>
    <t>Cash and balances with banks &amp; institutions in Zambia</t>
  </si>
  <si>
    <t>Less Allowance for loans and other losses</t>
  </si>
  <si>
    <t>Net loans and other advances</t>
  </si>
  <si>
    <t>Savings/Money Market Instruments</t>
  </si>
  <si>
    <t>Balances due to banks &amp; institutions in Zambia</t>
  </si>
  <si>
    <t>Borrowed funds-Shareholders loans</t>
  </si>
  <si>
    <t>General reserve</t>
  </si>
  <si>
    <t>Minority interest</t>
  </si>
  <si>
    <t>Balances due to foreign institutions</t>
  </si>
  <si>
    <t>Investments in securities/Money market instruments</t>
  </si>
  <si>
    <t>Capital grant</t>
  </si>
  <si>
    <t>Balances due to Bank of Zambia</t>
  </si>
  <si>
    <t>Paid to banks and financial institutions</t>
  </si>
  <si>
    <t xml:space="preserve">Deposits </t>
  </si>
  <si>
    <t>Customers deposits</t>
  </si>
  <si>
    <t>Capital grant/contributed capital</t>
  </si>
  <si>
    <t>Target dividend payout ratio</t>
  </si>
  <si>
    <t>WQ</t>
  </si>
  <si>
    <t>Q1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</si>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</sst>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 * #,##0_ ;_ * \-#,##0_ ;_ * &quot;-&quot;??_ ;_ @_ "/>
    <numFmt numFmtId="168" formatCode="_ * #,##0.00_ ;_ * \-#,##0.00_ ;_ * &quot;-&quot;??_ ;_ @_ "/>
    <numFmt numFmtId="169" formatCode="_-* #,##0_-;\-* #,##0_-;_-* &quot;-&quot;??_-;_-@_-"/>
    <numFmt numFmtId="170" formatCode="_(* #,##0.0000_);_(* \(#,##0.00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 Narrow"/>
      <family val="2"/>
    </font>
    <font>
      <sz val="8"/>
      <color theme="1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theme="0"/>
      <name val="Arial Narrow"/>
      <family val="2"/>
    </font>
    <font>
      <b/>
      <sz val="10"/>
      <color indexed="8"/>
      <name val="Arial Narrow"/>
      <family val="2"/>
    </font>
    <font>
      <b/>
      <u/>
      <sz val="10"/>
      <color theme="0"/>
      <name val="Arial Narrow"/>
      <family val="2"/>
    </font>
    <font>
      <sz val="10"/>
      <color indexed="8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0"/>
      <color rgb="FF002060"/>
      <name val="Arial Narrow"/>
      <family val="2"/>
    </font>
    <font>
      <b/>
      <sz val="10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9" tint="-0.499984740745262"/>
      <name val="Times New Roman"/>
      <family val="1"/>
    </font>
    <font>
      <sz val="8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8C51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C22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7A7A"/>
        <bgColor indexed="64"/>
      </patternFill>
    </fill>
    <fill>
      <patternFill patternType="solid">
        <fgColor theme="9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ck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0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3" fontId="3" fillId="2" borderId="0" xfId="1" applyFont="1" applyFill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9" fillId="4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15" fontId="7" fillId="4" borderId="0" xfId="0" applyNumberFormat="1" applyFont="1" applyFill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7" fillId="4" borderId="0" xfId="0" applyFont="1" applyFill="1" applyAlignment="1">
      <alignment horizontal="right" vertical="center"/>
    </xf>
    <xf numFmtId="165" fontId="3" fillId="3" borderId="0" xfId="0" applyNumberFormat="1" applyFont="1" applyFill="1" applyAlignment="1">
      <alignment vertical="center"/>
    </xf>
    <xf numFmtId="165" fontId="3" fillId="3" borderId="0" xfId="1" applyNumberFormat="1" applyFont="1" applyFill="1" applyAlignment="1">
      <alignment vertical="center"/>
    </xf>
    <xf numFmtId="165" fontId="5" fillId="3" borderId="0" xfId="0" applyNumberFormat="1" applyFont="1" applyFill="1" applyAlignment="1">
      <alignment vertical="center"/>
    </xf>
    <xf numFmtId="165" fontId="5" fillId="3" borderId="0" xfId="1" applyNumberFormat="1" applyFont="1" applyFill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165" fontId="3" fillId="5" borderId="2" xfId="1" applyNumberFormat="1" applyFont="1" applyFill="1" applyBorder="1" applyAlignment="1">
      <alignment vertical="center"/>
    </xf>
    <xf numFmtId="165" fontId="3" fillId="5" borderId="7" xfId="1" applyNumberFormat="1" applyFont="1" applyFill="1" applyBorder="1" applyAlignment="1">
      <alignment vertical="center"/>
    </xf>
    <xf numFmtId="165" fontId="3" fillId="5" borderId="0" xfId="1" applyNumberFormat="1" applyFont="1" applyFill="1" applyAlignment="1">
      <alignment vertical="center"/>
    </xf>
    <xf numFmtId="165" fontId="3" fillId="3" borderId="7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165" fontId="3" fillId="5" borderId="0" xfId="0" applyNumberFormat="1" applyFont="1" applyFill="1" applyAlignment="1">
      <alignment vertical="center"/>
    </xf>
    <xf numFmtId="0" fontId="5" fillId="3" borderId="5" xfId="0" applyFont="1" applyFill="1" applyBorder="1" applyAlignment="1">
      <alignment vertical="center" wrapText="1"/>
    </xf>
    <xf numFmtId="165" fontId="5" fillId="3" borderId="7" xfId="1" applyNumberFormat="1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/>
    </xf>
    <xf numFmtId="165" fontId="8" fillId="3" borderId="0" xfId="0" applyNumberFormat="1" applyFont="1" applyFill="1" applyAlignment="1">
      <alignment vertical="center"/>
    </xf>
    <xf numFmtId="165" fontId="3" fillId="3" borderId="8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165" fontId="10" fillId="3" borderId="0" xfId="1" applyNumberFormat="1" applyFont="1" applyFill="1" applyAlignment="1">
      <alignment vertical="center"/>
    </xf>
    <xf numFmtId="165" fontId="10" fillId="5" borderId="0" xfId="1" applyNumberFormat="1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165" fontId="10" fillId="3" borderId="8" xfId="1" applyNumberFormat="1" applyFont="1" applyFill="1" applyBorder="1" applyAlignment="1">
      <alignment vertical="center"/>
    </xf>
    <xf numFmtId="165" fontId="10" fillId="5" borderId="9" xfId="1" applyNumberFormat="1" applyFont="1" applyFill="1" applyBorder="1" applyAlignment="1">
      <alignment vertical="center"/>
    </xf>
    <xf numFmtId="165" fontId="8" fillId="3" borderId="8" xfId="0" applyNumberFormat="1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165" fontId="8" fillId="6" borderId="0" xfId="0" applyNumberFormat="1" applyFont="1" applyFill="1" applyAlignment="1">
      <alignment vertical="center"/>
    </xf>
    <xf numFmtId="9" fontId="3" fillId="3" borderId="0" xfId="2" applyFont="1" applyFill="1" applyAlignment="1">
      <alignment vertical="center"/>
    </xf>
    <xf numFmtId="166" fontId="10" fillId="6" borderId="0" xfId="2" applyNumberFormat="1" applyFont="1" applyFill="1" applyAlignment="1">
      <alignment vertical="center"/>
    </xf>
    <xf numFmtId="165" fontId="8" fillId="3" borderId="0" xfId="1" applyNumberFormat="1" applyFont="1" applyFill="1" applyAlignment="1">
      <alignment vertical="center"/>
    </xf>
    <xf numFmtId="0" fontId="7" fillId="4" borderId="10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165" fontId="5" fillId="3" borderId="11" xfId="1" applyNumberFormat="1" applyFont="1" applyFill="1" applyBorder="1" applyAlignment="1">
      <alignment vertical="center"/>
    </xf>
    <xf numFmtId="165" fontId="3" fillId="6" borderId="0" xfId="1" applyNumberFormat="1" applyFont="1" applyFill="1" applyAlignment="1">
      <alignment vertical="center"/>
    </xf>
    <xf numFmtId="165" fontId="3" fillId="7" borderId="0" xfId="1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165" fontId="5" fillId="3" borderId="8" xfId="1" applyNumberFormat="1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165" fontId="2" fillId="6" borderId="0" xfId="3" applyNumberFormat="1" applyFont="1" applyFill="1" applyAlignment="1">
      <alignment vertical="center"/>
    </xf>
    <xf numFmtId="165" fontId="2" fillId="5" borderId="0" xfId="3" applyNumberFormat="1" applyFont="1" applyFill="1" applyAlignment="1">
      <alignment vertical="center"/>
    </xf>
    <xf numFmtId="165" fontId="2" fillId="5" borderId="0" xfId="4" applyNumberFormat="1" applyFont="1" applyFill="1" applyAlignment="1">
      <alignment vertical="center"/>
    </xf>
    <xf numFmtId="165" fontId="2" fillId="6" borderId="0" xfId="4" applyNumberFormat="1" applyFont="1" applyFill="1" applyAlignment="1">
      <alignment vertical="center"/>
    </xf>
    <xf numFmtId="165" fontId="5" fillId="9" borderId="7" xfId="0" applyNumberFormat="1" applyFont="1" applyFill="1" applyBorder="1" applyAlignment="1">
      <alignment vertical="center"/>
    </xf>
    <xf numFmtId="165" fontId="8" fillId="9" borderId="8" xfId="1" applyNumberFormat="1" applyFont="1" applyFill="1" applyBorder="1" applyAlignment="1">
      <alignment vertical="center"/>
    </xf>
    <xf numFmtId="165" fontId="8" fillId="9" borderId="11" xfId="1" applyNumberFormat="1" applyFont="1" applyFill="1" applyBorder="1" applyAlignment="1">
      <alignment vertical="center"/>
    </xf>
    <xf numFmtId="165" fontId="11" fillId="3" borderId="0" xfId="1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165" fontId="3" fillId="3" borderId="11" xfId="1" applyNumberFormat="1" applyFont="1" applyFill="1" applyBorder="1" applyAlignment="1">
      <alignment vertical="center"/>
    </xf>
    <xf numFmtId="169" fontId="5" fillId="3" borderId="11" xfId="0" applyNumberFormat="1" applyFont="1" applyFill="1" applyBorder="1" applyAlignment="1">
      <alignment vertical="center"/>
    </xf>
    <xf numFmtId="0" fontId="5" fillId="3" borderId="5" xfId="0" quotePrefix="1" applyFont="1" applyFill="1" applyBorder="1" applyAlignment="1">
      <alignment vertical="center"/>
    </xf>
    <xf numFmtId="165" fontId="3" fillId="3" borderId="12" xfId="1" applyNumberFormat="1" applyFont="1" applyFill="1" applyBorder="1" applyAlignment="1">
      <alignment vertical="center"/>
    </xf>
    <xf numFmtId="165" fontId="3" fillId="3" borderId="13" xfId="1" applyNumberFormat="1" applyFont="1" applyFill="1" applyBorder="1" applyAlignment="1">
      <alignment vertical="center"/>
    </xf>
    <xf numFmtId="0" fontId="5" fillId="3" borderId="0" xfId="0" quotePrefix="1" applyFont="1" applyFill="1" applyAlignment="1">
      <alignment vertical="center"/>
    </xf>
    <xf numFmtId="168" fontId="3" fillId="3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167" fontId="3" fillId="3" borderId="7" xfId="0" applyNumberFormat="1" applyFont="1" applyFill="1" applyBorder="1" applyAlignment="1">
      <alignment vertical="center"/>
    </xf>
    <xf numFmtId="166" fontId="3" fillId="6" borderId="0" xfId="2" applyNumberFormat="1" applyFont="1" applyFill="1" applyAlignment="1">
      <alignment vertical="center"/>
    </xf>
    <xf numFmtId="166" fontId="3" fillId="8" borderId="0" xfId="2" applyNumberFormat="1" applyFont="1" applyFill="1" applyAlignment="1">
      <alignment vertical="center"/>
    </xf>
    <xf numFmtId="0" fontId="13" fillId="4" borderId="0" xfId="0" applyFont="1" applyFill="1" applyAlignment="1">
      <alignment vertical="center"/>
    </xf>
    <xf numFmtId="169" fontId="12" fillId="5" borderId="14" xfId="0" applyNumberFormat="1" applyFont="1" applyFill="1" applyBorder="1" applyAlignment="1">
      <alignment vertical="center"/>
    </xf>
    <xf numFmtId="165" fontId="3" fillId="6" borderId="0" xfId="1" applyNumberFormat="1" applyFont="1" applyFill="1" applyAlignment="1">
      <alignment horizontal="center" vertical="center"/>
    </xf>
    <xf numFmtId="9" fontId="3" fillId="8" borderId="0" xfId="5" applyFont="1" applyFill="1" applyAlignment="1">
      <alignment horizontal="center" vertical="center"/>
    </xf>
    <xf numFmtId="9" fontId="3" fillId="6" borderId="0" xfId="5" applyFont="1" applyFill="1" applyAlignment="1">
      <alignment horizontal="center" vertical="center"/>
    </xf>
    <xf numFmtId="0" fontId="7" fillId="10" borderId="15" xfId="0" applyFont="1" applyFill="1" applyBorder="1" applyAlignment="1">
      <alignment vertical="center"/>
    </xf>
    <xf numFmtId="0" fontId="7" fillId="10" borderId="16" xfId="0" applyFont="1" applyFill="1" applyBorder="1" applyAlignment="1">
      <alignment vertical="center"/>
    </xf>
    <xf numFmtId="0" fontId="7" fillId="10" borderId="2" xfId="0" applyFont="1" applyFill="1" applyBorder="1" applyAlignment="1">
      <alignment horizontal="right" vertical="center"/>
    </xf>
    <xf numFmtId="0" fontId="3" fillId="6" borderId="5" xfId="0" applyFont="1" applyFill="1" applyBorder="1" applyAlignment="1">
      <alignment vertical="center"/>
    </xf>
    <xf numFmtId="165" fontId="3" fillId="5" borderId="17" xfId="1" applyNumberFormat="1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165" fontId="3" fillId="5" borderId="5" xfId="1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left" vertical="center"/>
    </xf>
    <xf numFmtId="165" fontId="5" fillId="6" borderId="19" xfId="1" applyNumberFormat="1" applyFont="1" applyFill="1" applyBorder="1" applyAlignment="1">
      <alignment vertical="center"/>
    </xf>
    <xf numFmtId="170" fontId="13" fillId="4" borderId="0" xfId="1" applyNumberFormat="1" applyFont="1" applyFill="1" applyAlignment="1">
      <alignment vertical="center"/>
    </xf>
    <xf numFmtId="165" fontId="13" fillId="4" borderId="7" xfId="1" applyNumberFormat="1" applyFont="1" applyFill="1" applyBorder="1" applyAlignment="1">
      <alignment vertical="center"/>
    </xf>
    <xf numFmtId="43" fontId="3" fillId="3" borderId="0" xfId="1" applyFont="1" applyFill="1" applyAlignment="1">
      <alignment vertical="center"/>
    </xf>
    <xf numFmtId="9" fontId="3" fillId="3" borderId="7" xfId="2" applyFont="1" applyFill="1" applyBorder="1" applyAlignment="1">
      <alignment vertical="center"/>
    </xf>
    <xf numFmtId="165" fontId="5" fillId="3" borderId="8" xfId="0" applyNumberFormat="1" applyFont="1" applyFill="1" applyBorder="1" applyAlignment="1">
      <alignment vertical="center"/>
    </xf>
    <xf numFmtId="0" fontId="7" fillId="10" borderId="20" xfId="0" applyFont="1" applyFill="1" applyBorder="1" applyAlignment="1">
      <alignment vertical="center"/>
    </xf>
    <xf numFmtId="0" fontId="7" fillId="10" borderId="21" xfId="0" applyFont="1" applyFill="1" applyBorder="1" applyAlignment="1">
      <alignment horizontal="right" vertical="center"/>
    </xf>
    <xf numFmtId="0" fontId="3" fillId="6" borderId="22" xfId="0" applyFont="1" applyFill="1" applyBorder="1" applyAlignment="1">
      <alignment vertical="center"/>
    </xf>
    <xf numFmtId="10" fontId="3" fillId="6" borderId="17" xfId="2" applyNumberFormat="1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10" fontId="3" fillId="6" borderId="5" xfId="2" applyNumberFormat="1" applyFont="1" applyFill="1" applyBorder="1" applyAlignment="1">
      <alignment vertical="center"/>
    </xf>
    <xf numFmtId="0" fontId="5" fillId="6" borderId="24" xfId="0" applyFont="1" applyFill="1" applyBorder="1" applyAlignment="1">
      <alignment horizontal="right" vertical="center"/>
    </xf>
    <xf numFmtId="10" fontId="5" fillId="6" borderId="19" xfId="2" applyNumberFormat="1" applyFont="1" applyFill="1" applyBorder="1" applyAlignment="1">
      <alignment vertical="center"/>
    </xf>
    <xf numFmtId="0" fontId="3" fillId="11" borderId="22" xfId="0" applyFont="1" applyFill="1" applyBorder="1" applyAlignment="1">
      <alignment vertical="center"/>
    </xf>
    <xf numFmtId="10" fontId="3" fillId="11" borderId="17" xfId="2" applyNumberFormat="1" applyFont="1" applyFill="1" applyBorder="1" applyAlignment="1">
      <alignment vertical="center"/>
    </xf>
    <xf numFmtId="0" fontId="3" fillId="11" borderId="23" xfId="0" applyFont="1" applyFill="1" applyBorder="1" applyAlignment="1">
      <alignment vertical="center"/>
    </xf>
    <xf numFmtId="10" fontId="3" fillId="11" borderId="5" xfId="2" applyNumberFormat="1" applyFont="1" applyFill="1" applyBorder="1" applyAlignment="1">
      <alignment vertical="center"/>
    </xf>
    <xf numFmtId="0" fontId="5" fillId="11" borderId="24" xfId="0" applyFont="1" applyFill="1" applyBorder="1" applyAlignment="1">
      <alignment horizontal="right" vertical="center"/>
    </xf>
    <xf numFmtId="10" fontId="5" fillId="11" borderId="19" xfId="2" applyNumberFormat="1" applyFont="1" applyFill="1" applyBorder="1" applyAlignment="1">
      <alignment vertical="center"/>
    </xf>
    <xf numFmtId="0" fontId="14" fillId="6" borderId="19" xfId="0" applyFont="1" applyFill="1" applyBorder="1" applyAlignment="1">
      <alignment vertical="center" wrapText="1"/>
    </xf>
    <xf numFmtId="10" fontId="14" fillId="6" borderId="25" xfId="5" applyNumberFormat="1" applyFont="1" applyFill="1" applyBorder="1" applyAlignment="1">
      <alignment horizontal="right" vertical="center" wrapText="1"/>
    </xf>
    <xf numFmtId="10" fontId="3" fillId="5" borderId="17" xfId="2" applyNumberFormat="1" applyFont="1" applyFill="1" applyBorder="1" applyAlignment="1">
      <alignment vertical="center"/>
    </xf>
    <xf numFmtId="10" fontId="3" fillId="5" borderId="5" xfId="2" applyNumberFormat="1" applyFont="1" applyFill="1" applyBorder="1" applyAlignment="1">
      <alignment vertical="center"/>
    </xf>
    <xf numFmtId="10" fontId="14" fillId="6" borderId="25" xfId="2" applyNumberFormat="1" applyFont="1" applyFill="1" applyBorder="1" applyAlignment="1">
      <alignment horizontal="right" vertical="center" wrapText="1"/>
    </xf>
    <xf numFmtId="0" fontId="3" fillId="12" borderId="0" xfId="0" applyFont="1" applyFill="1" applyAlignment="1">
      <alignment vertical="center"/>
    </xf>
    <xf numFmtId="0" fontId="7" fillId="12" borderId="2" xfId="0" applyFont="1" applyFill="1" applyBorder="1" applyAlignment="1">
      <alignment vertical="center"/>
    </xf>
    <xf numFmtId="0" fontId="8" fillId="12" borderId="4" xfId="0" applyFont="1" applyFill="1" applyBorder="1" applyAlignment="1">
      <alignment vertical="center"/>
    </xf>
    <xf numFmtId="0" fontId="7" fillId="12" borderId="6" xfId="0" applyFont="1" applyFill="1" applyBorder="1" applyAlignment="1">
      <alignment horizontal="center" vertical="center"/>
    </xf>
    <xf numFmtId="15" fontId="7" fillId="12" borderId="0" xfId="0" applyNumberFormat="1" applyFont="1" applyFill="1" applyAlignment="1">
      <alignment horizontal="right" vertical="center"/>
    </xf>
    <xf numFmtId="0" fontId="7" fillId="12" borderId="0" xfId="0" applyFont="1" applyFill="1" applyAlignment="1">
      <alignment horizontal="right" vertical="center"/>
    </xf>
    <xf numFmtId="165" fontId="3" fillId="12" borderId="0" xfId="0" applyNumberFormat="1" applyFont="1" applyFill="1" applyAlignment="1">
      <alignment vertical="center"/>
    </xf>
    <xf numFmtId="165" fontId="3" fillId="12" borderId="2" xfId="1" applyNumberFormat="1" applyFont="1" applyFill="1" applyBorder="1" applyAlignment="1">
      <alignment vertical="center"/>
    </xf>
    <xf numFmtId="165" fontId="3" fillId="12" borderId="0" xfId="1" applyNumberFormat="1" applyFont="1" applyFill="1" applyAlignment="1">
      <alignment vertical="center"/>
    </xf>
    <xf numFmtId="165" fontId="3" fillId="12" borderId="7" xfId="0" applyNumberFormat="1" applyFont="1" applyFill="1" applyBorder="1" applyAlignment="1">
      <alignment vertical="center"/>
    </xf>
    <xf numFmtId="165" fontId="5" fillId="12" borderId="0" xfId="0" applyNumberFormat="1" applyFont="1" applyFill="1" applyAlignment="1">
      <alignment vertical="center"/>
    </xf>
    <xf numFmtId="165" fontId="3" fillId="12" borderId="8" xfId="0" applyNumberFormat="1" applyFont="1" applyFill="1" applyBorder="1" applyAlignment="1">
      <alignment vertical="center"/>
    </xf>
    <xf numFmtId="165" fontId="10" fillId="12" borderId="0" xfId="1" applyNumberFormat="1" applyFont="1" applyFill="1" applyAlignment="1">
      <alignment vertical="center"/>
    </xf>
    <xf numFmtId="165" fontId="10" fillId="12" borderId="8" xfId="1" applyNumberFormat="1" applyFont="1" applyFill="1" applyBorder="1" applyAlignment="1">
      <alignment vertical="center"/>
    </xf>
    <xf numFmtId="165" fontId="8" fillId="12" borderId="0" xfId="0" applyNumberFormat="1" applyFont="1" applyFill="1" applyAlignment="1">
      <alignment vertical="center"/>
    </xf>
    <xf numFmtId="165" fontId="8" fillId="12" borderId="8" xfId="0" applyNumberFormat="1" applyFont="1" applyFill="1" applyBorder="1" applyAlignment="1">
      <alignment vertical="center"/>
    </xf>
    <xf numFmtId="166" fontId="10" fillId="12" borderId="0" xfId="2" applyNumberFormat="1" applyFont="1" applyFill="1" applyAlignment="1">
      <alignment vertical="center"/>
    </xf>
    <xf numFmtId="0" fontId="7" fillId="12" borderId="0" xfId="0" applyFont="1" applyFill="1" applyAlignment="1">
      <alignment vertical="center"/>
    </xf>
    <xf numFmtId="9" fontId="3" fillId="12" borderId="0" xfId="2" applyFont="1" applyFill="1" applyAlignment="1">
      <alignment vertical="center"/>
    </xf>
    <xf numFmtId="165" fontId="5" fillId="12" borderId="8" xfId="1" applyNumberFormat="1" applyFont="1" applyFill="1" applyBorder="1" applyAlignment="1">
      <alignment vertical="center"/>
    </xf>
    <xf numFmtId="165" fontId="5" fillId="12" borderId="7" xfId="0" applyNumberFormat="1" applyFont="1" applyFill="1" applyBorder="1" applyAlignment="1">
      <alignment vertical="center"/>
    </xf>
    <xf numFmtId="165" fontId="8" fillId="12" borderId="11" xfId="1" applyNumberFormat="1" applyFont="1" applyFill="1" applyBorder="1" applyAlignment="1">
      <alignment vertical="center"/>
    </xf>
    <xf numFmtId="165" fontId="11" fillId="12" borderId="0" xfId="1" applyNumberFormat="1" applyFont="1" applyFill="1" applyAlignment="1">
      <alignment vertical="center"/>
    </xf>
    <xf numFmtId="165" fontId="3" fillId="12" borderId="11" xfId="1" applyNumberFormat="1" applyFont="1" applyFill="1" applyBorder="1" applyAlignment="1">
      <alignment vertical="center"/>
    </xf>
    <xf numFmtId="165" fontId="3" fillId="12" borderId="12" xfId="1" applyNumberFormat="1" applyFont="1" applyFill="1" applyBorder="1" applyAlignment="1">
      <alignment vertical="center"/>
    </xf>
    <xf numFmtId="165" fontId="3" fillId="12" borderId="13" xfId="1" applyNumberFormat="1" applyFont="1" applyFill="1" applyBorder="1" applyAlignment="1">
      <alignment vertical="center"/>
    </xf>
    <xf numFmtId="166" fontId="3" fillId="12" borderId="0" xfId="2" applyNumberFormat="1" applyFont="1" applyFill="1" applyAlignment="1">
      <alignment vertical="center"/>
    </xf>
    <xf numFmtId="0" fontId="13" fillId="12" borderId="0" xfId="0" applyFont="1" applyFill="1" applyAlignment="1">
      <alignment vertical="center"/>
    </xf>
    <xf numFmtId="9" fontId="3" fillId="12" borderId="0" xfId="5" applyFont="1" applyFill="1" applyAlignment="1">
      <alignment horizontal="center" vertical="center"/>
    </xf>
    <xf numFmtId="0" fontId="7" fillId="12" borderId="2" xfId="0" applyFont="1" applyFill="1" applyBorder="1" applyAlignment="1">
      <alignment horizontal="right" vertical="center"/>
    </xf>
    <xf numFmtId="165" fontId="5" fillId="12" borderId="19" xfId="1" applyNumberFormat="1" applyFont="1" applyFill="1" applyBorder="1" applyAlignment="1">
      <alignment vertical="center"/>
    </xf>
    <xf numFmtId="165" fontId="13" fillId="12" borderId="7" xfId="1" applyNumberFormat="1" applyFont="1" applyFill="1" applyBorder="1" applyAlignment="1">
      <alignment vertical="center"/>
    </xf>
    <xf numFmtId="9" fontId="3" fillId="12" borderId="7" xfId="2" applyFont="1" applyFill="1" applyBorder="1" applyAlignment="1">
      <alignment vertical="center"/>
    </xf>
    <xf numFmtId="165" fontId="5" fillId="12" borderId="8" xfId="0" applyNumberFormat="1" applyFont="1" applyFill="1" applyBorder="1" applyAlignment="1">
      <alignment vertical="center"/>
    </xf>
    <xf numFmtId="0" fontId="7" fillId="12" borderId="21" xfId="0" applyFont="1" applyFill="1" applyBorder="1" applyAlignment="1">
      <alignment horizontal="right" vertical="center"/>
    </xf>
    <xf numFmtId="10" fontId="3" fillId="12" borderId="17" xfId="2" applyNumberFormat="1" applyFont="1" applyFill="1" applyBorder="1" applyAlignment="1">
      <alignment vertical="center"/>
    </xf>
    <xf numFmtId="10" fontId="3" fillId="12" borderId="5" xfId="2" applyNumberFormat="1" applyFont="1" applyFill="1" applyBorder="1" applyAlignment="1">
      <alignment vertical="center"/>
    </xf>
    <xf numFmtId="10" fontId="5" fillId="12" borderId="19" xfId="2" applyNumberFormat="1" applyFont="1" applyFill="1" applyBorder="1" applyAlignment="1">
      <alignment vertical="center"/>
    </xf>
    <xf numFmtId="10" fontId="14" fillId="12" borderId="25" xfId="5" applyNumberFormat="1" applyFont="1" applyFill="1" applyBorder="1" applyAlignment="1">
      <alignment horizontal="right" vertical="center" wrapText="1"/>
    </xf>
    <xf numFmtId="10" fontId="14" fillId="12" borderId="25" xfId="2" applyNumberFormat="1" applyFont="1" applyFill="1" applyBorder="1" applyAlignment="1">
      <alignment horizontal="right" vertical="center" wrapText="1"/>
    </xf>
    <xf numFmtId="0" fontId="0" fillId="13" borderId="0" xfId="0" applyFill="1"/>
    <xf numFmtId="0" fontId="0" fillId="14" borderId="0" xfId="0" applyFill="1"/>
    <xf numFmtId="0" fontId="12" fillId="6" borderId="26" xfId="0" applyFont="1" applyFill="1" applyBorder="1" applyAlignment="1">
      <alignment vertical="center"/>
    </xf>
    <xf numFmtId="0" fontId="12" fillId="6" borderId="27" xfId="0" applyFont="1" applyFill="1" applyBorder="1" applyAlignment="1">
      <alignment vertical="center"/>
    </xf>
    <xf numFmtId="0" fontId="12" fillId="6" borderId="28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166" fontId="15" fillId="6" borderId="0" xfId="5" applyNumberFormat="1" applyFont="1" applyFill="1" applyAlignment="1" applyProtection="1">
      <alignment vertical="center"/>
      <protection locked="0"/>
    </xf>
    <xf numFmtId="0" fontId="12" fillId="15" borderId="28" xfId="0" applyFont="1" applyFill="1" applyBorder="1" applyAlignment="1">
      <alignment vertical="center"/>
    </xf>
    <xf numFmtId="0" fontId="15" fillId="6" borderId="26" xfId="0" applyFont="1" applyFill="1" applyBorder="1" applyAlignment="1">
      <alignment vertical="center"/>
    </xf>
    <xf numFmtId="0" fontId="0" fillId="5" borderId="0" xfId="0" applyFill="1"/>
    <xf numFmtId="0" fontId="16" fillId="5" borderId="0" xfId="0" applyFont="1" applyFill="1"/>
    <xf numFmtId="0" fontId="16" fillId="14" borderId="0" xfId="0" applyFont="1" applyFill="1"/>
    <xf numFmtId="0" fontId="16" fillId="13" borderId="0" xfId="0" applyFont="1" applyFill="1"/>
    <xf numFmtId="0" fontId="16" fillId="16" borderId="0" xfId="0" applyFont="1" applyFill="1"/>
    <xf numFmtId="0" fontId="0" fillId="16" borderId="0" xfId="0" applyFill="1"/>
    <xf numFmtId="0" fontId="0" fillId="17" borderId="0" xfId="0" applyFill="1"/>
    <xf numFmtId="10" fontId="0" fillId="17" borderId="0" xfId="0" applyNumberFormat="1" applyFill="1"/>
    <xf numFmtId="0" fontId="0" fillId="18" borderId="0" xfId="0" applyFill="1"/>
    <xf numFmtId="0" fontId="0" fillId="19" borderId="0" xfId="0" applyFill="1"/>
    <xf numFmtId="10" fontId="0" fillId="14" borderId="0" xfId="0" applyNumberFormat="1" applyFill="1"/>
    <xf numFmtId="10" fontId="0" fillId="13" borderId="0" xfId="0" applyNumberFormat="1" applyFill="1"/>
    <xf numFmtId="10" fontId="0" fillId="16" borderId="0" xfId="0" applyNumberFormat="1" applyFill="1"/>
    <xf numFmtId="166" fontId="0" fillId="14" borderId="0" xfId="0" applyNumberFormat="1" applyFill="1"/>
    <xf numFmtId="166" fontId="0" fillId="5" borderId="0" xfId="0" applyNumberFormat="1" applyFill="1"/>
    <xf numFmtId="0" fontId="18" fillId="0" borderId="29" xfId="0" applyFont="1" applyBorder="1"/>
    <xf numFmtId="0" fontId="5" fillId="6" borderId="0" xfId="0" applyFont="1" applyFill="1" applyAlignment="1">
      <alignment horizontal="left" vertical="center"/>
    </xf>
    <xf numFmtId="10" fontId="14" fillId="6" borderId="0" xfId="2" applyNumberFormat="1" applyFont="1" applyFill="1" applyBorder="1" applyAlignment="1">
      <alignment horizontal="right" vertical="center" wrapText="1"/>
    </xf>
    <xf numFmtId="10" fontId="14" fillId="12" borderId="0" xfId="2" applyNumberFormat="1" applyFont="1" applyFill="1" applyBorder="1" applyAlignment="1">
      <alignment horizontal="right" vertical="center" wrapText="1"/>
    </xf>
    <xf numFmtId="1" fontId="14" fillId="6" borderId="0" xfId="2" applyNumberFormat="1" applyFont="1" applyFill="1" applyBorder="1" applyAlignment="1">
      <alignment horizontal="right" vertical="center" wrapText="1"/>
    </xf>
    <xf numFmtId="1" fontId="0" fillId="17" borderId="0" xfId="0" applyNumberFormat="1" applyFill="1"/>
    <xf numFmtId="0" fontId="19" fillId="0" borderId="30" xfId="0" applyFont="1" applyBorder="1"/>
    <xf numFmtId="0" fontId="19" fillId="0" borderId="0" xfId="0" applyFont="1" applyAlignment="1">
      <alignment horizontal="center"/>
    </xf>
    <xf numFmtId="10" fontId="19" fillId="20" borderId="0" xfId="0" applyNumberFormat="1" applyFont="1" applyFill="1" applyAlignment="1">
      <alignment horizontal="center"/>
    </xf>
    <xf numFmtId="0" fontId="19" fillId="0" borderId="31" xfId="0" applyFont="1" applyBorder="1"/>
    <xf numFmtId="10" fontId="19" fillId="21" borderId="0" xfId="0" applyNumberFormat="1" applyFont="1" applyFill="1" applyAlignment="1">
      <alignment horizontal="center"/>
    </xf>
    <xf numFmtId="166" fontId="19" fillId="0" borderId="0" xfId="0" applyNumberFormat="1" applyFont="1" applyAlignment="1">
      <alignment horizontal="center"/>
    </xf>
    <xf numFmtId="10" fontId="19" fillId="0" borderId="0" xfId="0" applyNumberFormat="1" applyFont="1" applyAlignment="1">
      <alignment horizontal="center"/>
    </xf>
    <xf numFmtId="0" fontId="19" fillId="0" borderId="0" xfId="0" applyFont="1"/>
    <xf numFmtId="0" fontId="19" fillId="0" borderId="29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10" fontId="19" fillId="20" borderId="0" xfId="0" applyNumberFormat="1" applyFont="1" applyFill="1" applyAlignment="1">
      <alignment horizontal="center" vertical="center"/>
    </xf>
    <xf numFmtId="0" fontId="0" fillId="0" borderId="7" xfId="0" applyBorder="1"/>
    <xf numFmtId="0" fontId="17" fillId="0" borderId="0" xfId="0" applyFont="1"/>
    <xf numFmtId="0" fontId="17" fillId="0" borderId="7" xfId="0" applyFont="1" applyBorder="1"/>
    <xf numFmtId="0" fontId="17" fillId="0" borderId="2" xfId="0" applyFont="1" applyBorder="1"/>
    <xf numFmtId="0" fontId="17" fillId="0" borderId="8" xfId="0" applyFont="1" applyBorder="1"/>
    <xf numFmtId="0" fontId="0" fillId="0" borderId="8" xfId="0" applyBorder="1"/>
    <xf numFmtId="0" fontId="16" fillId="0" borderId="0" xfId="0" applyFont="1"/>
    <xf numFmtId="0" fontId="20" fillId="0" borderId="0" xfId="0" applyFont="1"/>
    <xf numFmtId="0" fontId="0" fillId="16" borderId="7" xfId="0" applyFill="1" applyBorder="1"/>
    <xf numFmtId="0" fontId="17" fillId="0" borderId="5" xfId="0" applyFont="1" applyBorder="1"/>
    <xf numFmtId="0" fontId="17" fillId="0" borderId="18" xfId="0" applyFont="1" applyBorder="1"/>
    <xf numFmtId="0" fontId="17" fillId="0" borderId="1" xfId="0" applyFont="1" applyBorder="1"/>
    <xf numFmtId="0" fontId="17" fillId="0" borderId="32" xfId="0" applyFont="1" applyBorder="1"/>
    <xf numFmtId="0" fontId="17" fillId="16" borderId="5" xfId="0" applyFont="1" applyFill="1" applyBorder="1"/>
    <xf numFmtId="0" fontId="17" fillId="16" borderId="18" xfId="0" applyFont="1" applyFill="1" applyBorder="1"/>
    <xf numFmtId="43" fontId="3" fillId="3" borderId="0" xfId="0" applyNumberFormat="1" applyFont="1" applyFill="1" applyAlignment="1">
      <alignment vertical="center"/>
    </xf>
    <xf numFmtId="10" fontId="0" fillId="18" borderId="0" xfId="0" applyNumberFormat="1" applyFill="1"/>
    <xf numFmtId="10" fontId="0" fillId="5" borderId="0" xfId="0" applyNumberFormat="1" applyFill="1"/>
    <xf numFmtId="10" fontId="19" fillId="21" borderId="0" xfId="0" applyNumberFormat="1" applyFont="1" applyFill="1" applyAlignment="1">
      <alignment horizontal="center" vertical="center"/>
    </xf>
    <xf numFmtId="166" fontId="0" fillId="0" borderId="0" xfId="0" applyNumberFormat="1"/>
    <xf numFmtId="0" fontId="0" fillId="6" borderId="0" xfId="0" applyFill="1"/>
    <xf numFmtId="15" fontId="0" fillId="0" borderId="0" xfId="0" applyNumberFormat="1"/>
    <xf numFmtId="43" fontId="8" fillId="9" borderId="11" xfId="1" applyFont="1" applyFill="1" applyBorder="1" applyAlignment="1">
      <alignment vertical="center"/>
    </xf>
    <xf numFmtId="43" fontId="3" fillId="5" borderId="0" xfId="1" applyFont="1" applyFill="1" applyAlignment="1">
      <alignment vertical="center"/>
    </xf>
    <xf numFmtId="43" fontId="2" fillId="5" borderId="0" xfId="1" applyFont="1" applyFill="1" applyAlignment="1">
      <alignment vertical="center"/>
    </xf>
    <xf numFmtId="43" fontId="5" fillId="9" borderId="7" xfId="1" applyFont="1" applyFill="1" applyBorder="1" applyAlignment="1">
      <alignment vertical="center"/>
    </xf>
    <xf numFmtId="165" fontId="3" fillId="12" borderId="0" xfId="1" applyNumberFormat="1" applyFont="1" applyFill="1" applyBorder="1" applyAlignment="1">
      <alignment vertical="center"/>
    </xf>
    <xf numFmtId="165" fontId="3" fillId="12" borderId="7" xfId="1" applyNumberFormat="1" applyFont="1" applyFill="1" applyBorder="1" applyAlignment="1">
      <alignment vertical="center"/>
    </xf>
    <xf numFmtId="165" fontId="11" fillId="12" borderId="0" xfId="1" applyNumberFormat="1" applyFont="1" applyFill="1" applyBorder="1" applyAlignment="1">
      <alignment vertical="center"/>
    </xf>
    <xf numFmtId="165" fontId="10" fillId="5" borderId="7" xfId="1" applyNumberFormat="1" applyFont="1" applyFill="1" applyBorder="1" applyAlignment="1">
      <alignment vertical="center"/>
    </xf>
    <xf numFmtId="169" fontId="12" fillId="5" borderId="32" xfId="0" applyNumberFormat="1" applyFont="1" applyFill="1" applyBorder="1" applyAlignment="1">
      <alignment vertical="center"/>
    </xf>
    <xf numFmtId="10" fontId="14" fillId="6" borderId="33" xfId="5" applyNumberFormat="1" applyFont="1" applyFill="1" applyBorder="1" applyAlignment="1">
      <alignment horizontal="right" vertical="center" wrapText="1"/>
    </xf>
    <xf numFmtId="10" fontId="14" fillId="6" borderId="33" xfId="2" applyNumberFormat="1" applyFont="1" applyFill="1" applyBorder="1" applyAlignment="1">
      <alignment horizontal="right" vertical="center" wrapText="1"/>
    </xf>
    <xf numFmtId="0" fontId="8" fillId="12" borderId="0" xfId="0" applyFont="1" applyFill="1" applyAlignment="1">
      <alignment vertical="center"/>
    </xf>
    <xf numFmtId="0" fontId="7" fillId="12" borderId="0" xfId="0" applyFont="1" applyFill="1" applyAlignment="1">
      <alignment horizontal="center" vertical="center"/>
    </xf>
    <xf numFmtId="165" fontId="10" fillId="12" borderId="0" xfId="1" applyNumberFormat="1" applyFont="1" applyFill="1" applyBorder="1" applyAlignment="1">
      <alignment vertical="center"/>
    </xf>
    <xf numFmtId="166" fontId="10" fillId="12" borderId="0" xfId="2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vertical="center"/>
    </xf>
    <xf numFmtId="9" fontId="3" fillId="12" borderId="0" xfId="2" applyFont="1" applyFill="1" applyBorder="1" applyAlignment="1">
      <alignment vertical="center"/>
    </xf>
    <xf numFmtId="165" fontId="5" fillId="12" borderId="0" xfId="1" applyNumberFormat="1" applyFont="1" applyFill="1" applyBorder="1" applyAlignment="1">
      <alignment vertical="center"/>
    </xf>
    <xf numFmtId="165" fontId="8" fillId="12" borderId="0" xfId="1" applyNumberFormat="1" applyFont="1" applyFill="1" applyBorder="1" applyAlignment="1">
      <alignment vertical="center"/>
    </xf>
    <xf numFmtId="166" fontId="3" fillId="12" borderId="0" xfId="2" applyNumberFormat="1" applyFont="1" applyFill="1" applyBorder="1" applyAlignment="1">
      <alignment vertical="center"/>
    </xf>
    <xf numFmtId="9" fontId="3" fillId="12" borderId="0" xfId="5" applyFont="1" applyFill="1" applyBorder="1" applyAlignment="1">
      <alignment horizontal="center" vertical="center"/>
    </xf>
    <xf numFmtId="165" fontId="13" fillId="12" borderId="0" xfId="1" applyNumberFormat="1" applyFont="1" applyFill="1" applyBorder="1" applyAlignment="1">
      <alignment vertical="center"/>
    </xf>
    <xf numFmtId="10" fontId="3" fillId="12" borderId="0" xfId="2" applyNumberFormat="1" applyFont="1" applyFill="1" applyBorder="1" applyAlignment="1">
      <alignment vertical="center"/>
    </xf>
    <xf numFmtId="10" fontId="5" fillId="12" borderId="0" xfId="2" applyNumberFormat="1" applyFont="1" applyFill="1" applyBorder="1" applyAlignment="1">
      <alignment vertical="center"/>
    </xf>
    <xf numFmtId="10" fontId="14" fillId="6" borderId="0" xfId="5" applyNumberFormat="1" applyFont="1" applyFill="1" applyBorder="1" applyAlignment="1">
      <alignment horizontal="right" vertical="center" wrapText="1"/>
    </xf>
    <xf numFmtId="165" fontId="3" fillId="12" borderId="8" xfId="1" applyNumberFormat="1" applyFont="1" applyFill="1" applyBorder="1" applyAlignment="1">
      <alignment vertical="center"/>
    </xf>
    <xf numFmtId="165" fontId="10" fillId="12" borderId="9" xfId="1" applyNumberFormat="1" applyFont="1" applyFill="1" applyBorder="1" applyAlignment="1">
      <alignment vertical="center"/>
    </xf>
    <xf numFmtId="165" fontId="10" fillId="6" borderId="0" xfId="1" applyNumberFormat="1" applyFont="1" applyFill="1" applyAlignment="1">
      <alignment vertical="center"/>
    </xf>
    <xf numFmtId="0" fontId="7" fillId="12" borderId="8" xfId="0" applyFont="1" applyFill="1" applyBorder="1" applyAlignment="1">
      <alignment horizontal="right" vertical="center"/>
    </xf>
    <xf numFmtId="10" fontId="14" fillId="12" borderId="7" xfId="2" applyNumberFormat="1" applyFont="1" applyFill="1" applyBorder="1" applyAlignment="1">
      <alignment horizontal="right" vertical="center" wrapText="1"/>
    </xf>
    <xf numFmtId="0" fontId="7" fillId="12" borderId="7" xfId="0" applyFont="1" applyFill="1" applyBorder="1" applyAlignment="1">
      <alignment horizontal="right" vertical="center"/>
    </xf>
    <xf numFmtId="165" fontId="3" fillId="6" borderId="11" xfId="1" applyNumberFormat="1" applyFont="1" applyFill="1" applyBorder="1" applyAlignment="1">
      <alignment vertical="center"/>
    </xf>
    <xf numFmtId="169" fontId="5" fillId="6" borderId="11" xfId="0" applyNumberFormat="1" applyFont="1" applyFill="1" applyBorder="1" applyAlignment="1">
      <alignment vertical="center"/>
    </xf>
    <xf numFmtId="165" fontId="5" fillId="6" borderId="0" xfId="1" applyNumberFormat="1" applyFont="1" applyFill="1" applyAlignment="1">
      <alignment vertical="center"/>
    </xf>
    <xf numFmtId="165" fontId="3" fillId="6" borderId="12" xfId="1" applyNumberFormat="1" applyFont="1" applyFill="1" applyBorder="1" applyAlignment="1">
      <alignment vertical="center"/>
    </xf>
    <xf numFmtId="165" fontId="3" fillId="6" borderId="1" xfId="1" applyNumberFormat="1" applyFont="1" applyFill="1" applyBorder="1" applyAlignment="1">
      <alignment vertical="center"/>
    </xf>
    <xf numFmtId="165" fontId="3" fillId="6" borderId="13" xfId="1" applyNumberFormat="1" applyFont="1" applyFill="1" applyBorder="1" applyAlignment="1">
      <alignment vertical="center"/>
    </xf>
    <xf numFmtId="165" fontId="3" fillId="6" borderId="18" xfId="1" applyNumberFormat="1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168" fontId="3" fillId="6" borderId="7" xfId="0" applyNumberFormat="1" applyFont="1" applyFill="1" applyBorder="1" applyAlignment="1">
      <alignment vertical="center"/>
    </xf>
    <xf numFmtId="167" fontId="3" fillId="6" borderId="7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165" fontId="8" fillId="22" borderId="0" xfId="0" applyNumberFormat="1" applyFont="1" applyFill="1" applyAlignment="1">
      <alignment vertical="center"/>
    </xf>
    <xf numFmtId="165" fontId="3" fillId="5" borderId="0" xfId="1" applyNumberFormat="1" applyFont="1" applyFill="1" applyBorder="1" applyAlignment="1">
      <alignment vertical="center"/>
    </xf>
    <xf numFmtId="0" fontId="8" fillId="12" borderId="4" xfId="0" applyFont="1" applyFill="1" applyBorder="1" applyAlignment="1">
      <alignment horizontal="right" vertical="center"/>
    </xf>
    <xf numFmtId="0" fontId="0" fillId="16" borderId="12" xfId="0" applyFill="1" applyBorder="1"/>
    <xf numFmtId="0" fontId="0" fillId="16" borderId="13" xfId="0" applyFill="1" applyBorder="1"/>
    <xf numFmtId="165" fontId="3" fillId="5" borderId="12" xfId="1" applyNumberFormat="1" applyFont="1" applyFill="1" applyBorder="1" applyAlignment="1">
      <alignment vertical="center"/>
    </xf>
    <xf numFmtId="165" fontId="3" fillId="5" borderId="13" xfId="1" applyNumberFormat="1" applyFont="1" applyFill="1" applyBorder="1" applyAlignment="1">
      <alignment vertical="center"/>
    </xf>
    <xf numFmtId="43" fontId="3" fillId="5" borderId="12" xfId="1" applyFont="1" applyFill="1" applyBorder="1" applyAlignment="1">
      <alignment vertical="center"/>
    </xf>
    <xf numFmtId="43" fontId="3" fillId="5" borderId="13" xfId="1" applyFont="1" applyFill="1" applyBorder="1" applyAlignment="1">
      <alignment vertical="center"/>
    </xf>
    <xf numFmtId="165" fontId="10" fillId="5" borderId="12" xfId="1" applyNumberFormat="1" applyFont="1" applyFill="1" applyBorder="1" applyAlignment="1">
      <alignment vertical="center"/>
    </xf>
    <xf numFmtId="165" fontId="10" fillId="5" borderId="13" xfId="1" applyNumberFormat="1" applyFont="1" applyFill="1" applyBorder="1" applyAlignment="1">
      <alignment vertical="center"/>
    </xf>
    <xf numFmtId="165" fontId="3" fillId="12" borderId="14" xfId="1" applyNumberFormat="1" applyFont="1" applyFill="1" applyBorder="1" applyAlignment="1">
      <alignment vertical="center"/>
    </xf>
    <xf numFmtId="169" fontId="0" fillId="14" borderId="0" xfId="1" applyNumberFormat="1" applyFont="1" applyFill="1"/>
    <xf numFmtId="169" fontId="0" fillId="0" borderId="0" xfId="1" applyNumberFormat="1" applyFont="1"/>
    <xf numFmtId="169" fontId="0" fillId="0" borderId="0" xfId="0" applyNumberFormat="1"/>
    <xf numFmtId="169" fontId="0" fillId="14" borderId="0" xfId="0" applyNumberFormat="1" applyFill="1"/>
    <xf numFmtId="169" fontId="0" fillId="13" borderId="0" xfId="1" applyNumberFormat="1" applyFont="1" applyFill="1"/>
    <xf numFmtId="165" fontId="10" fillId="13" borderId="0" xfId="9" applyNumberFormat="1" applyFont="1" applyFill="1" applyBorder="1" applyProtection="1"/>
    <xf numFmtId="169" fontId="0" fillId="13" borderId="0" xfId="0" applyNumberFormat="1" applyFill="1"/>
    <xf numFmtId="169" fontId="0" fillId="16" borderId="0" xfId="1" applyNumberFormat="1" applyFont="1" applyFill="1"/>
    <xf numFmtId="169" fontId="0" fillId="16" borderId="0" xfId="0" applyNumberFormat="1" applyFill="1"/>
    <xf numFmtId="165" fontId="0" fillId="16" borderId="0" xfId="0" applyNumberFormat="1" applyFill="1"/>
    <xf numFmtId="169" fontId="0" fillId="17" borderId="0" xfId="1" applyNumberFormat="1" applyFont="1" applyFill="1"/>
    <xf numFmtId="169" fontId="0" fillId="18" borderId="0" xfId="1" applyNumberFormat="1" applyFont="1" applyFill="1"/>
    <xf numFmtId="0" fontId="17" fillId="0" borderId="12" xfId="0" applyFont="1" applyBorder="1"/>
    <xf numFmtId="0" fontId="17" fillId="16" borderId="14" xfId="0" applyFont="1" applyFill="1" applyBorder="1"/>
    <xf numFmtId="0" fontId="17" fillId="16" borderId="12" xfId="0" applyFont="1" applyFill="1" applyBorder="1"/>
    <xf numFmtId="0" fontId="17" fillId="16" borderId="13" xfId="0" applyFont="1" applyFill="1" applyBorder="1"/>
    <xf numFmtId="165" fontId="17" fillId="0" borderId="8" xfId="0" applyNumberFormat="1" applyFont="1" applyBorder="1"/>
    <xf numFmtId="166" fontId="3" fillId="3" borderId="0" xfId="2" applyNumberFormat="1" applyFont="1" applyFill="1" applyAlignment="1">
      <alignment vertical="center"/>
    </xf>
    <xf numFmtId="0" fontId="5" fillId="22" borderId="0" xfId="0" applyFont="1" applyFill="1" applyAlignment="1">
      <alignment vertical="center"/>
    </xf>
    <xf numFmtId="165" fontId="22" fillId="6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5" fontId="8" fillId="6" borderId="0" xfId="0" applyNumberFormat="1" applyFont="1" applyFill="1" applyAlignment="1">
      <alignment horizontal="center" vertical="center"/>
    </xf>
    <xf numFmtId="166" fontId="3" fillId="6" borderId="0" xfId="2" applyNumberFormat="1" applyFont="1" applyFill="1" applyAlignment="1">
      <alignment horizontal="center" vertical="center"/>
    </xf>
    <xf numFmtId="43" fontId="3" fillId="12" borderId="0" xfId="1" applyFont="1" applyFill="1" applyAlignment="1">
      <alignment vertical="center"/>
    </xf>
    <xf numFmtId="165" fontId="11" fillId="6" borderId="0" xfId="1" applyNumberFormat="1" applyFont="1" applyFill="1" applyAlignment="1">
      <alignment vertical="center"/>
    </xf>
    <xf numFmtId="165" fontId="23" fillId="5" borderId="0" xfId="4" applyNumberFormat="1" applyFont="1" applyFill="1" applyAlignment="1">
      <alignment vertical="center"/>
    </xf>
    <xf numFmtId="165" fontId="0" fillId="0" borderId="0" xfId="0" applyNumberFormat="1"/>
    <xf numFmtId="0" fontId="8" fillId="7" borderId="0" xfId="0" applyFont="1" applyFill="1" applyAlignment="1">
      <alignment vertical="center"/>
    </xf>
    <xf numFmtId="165" fontId="8" fillId="7" borderId="0" xfId="0" applyNumberFormat="1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</cellXfs>
  <cellStyles count="10">
    <cellStyle name="Comma" xfId="1" builtinId="3"/>
    <cellStyle name="Comma 10" xfId="9" xr:uid="{00000000-0005-0000-0000-000001000000}"/>
    <cellStyle name="Comma 2" xfId="7" xr:uid="{00000000-0005-0000-0000-000002000000}"/>
    <cellStyle name="Comma 57 2" xfId="4" xr:uid="{00000000-0005-0000-0000-000003000000}"/>
    <cellStyle name="Comma 59 2" xfId="3" xr:uid="{00000000-0005-0000-0000-000004000000}"/>
    <cellStyle name="Normal" xfId="0" builtinId="0"/>
    <cellStyle name="Normal 2" xfId="6" xr:uid="{00000000-0005-0000-0000-000006000000}"/>
    <cellStyle name="Percent" xfId="2" builtinId="5"/>
    <cellStyle name="Percent 2" xfId="5" xr:uid="{00000000-0005-0000-0000-000008000000}"/>
    <cellStyle name="Percent 3" xfId="8" xr:uid="{00000000-0005-0000-0000-000009000000}"/>
  </cellStyles>
  <dxfs count="33"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EA7A7A"/>
      <color rgb="FFDC2222"/>
      <color rgb="FFFDAA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Assets</a:t>
            </a:r>
          </a:p>
        </c:rich>
      </c:tx>
      <c:layout>
        <c:manualLayout>
          <c:xMode val="edge"/>
          <c:yMode val="edge"/>
          <c:x val="0.42540961449586245"/>
          <c:y val="2.34604105571847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Data!$B$6</c:f>
              <c:strCache>
                <c:ptCount val="1"/>
                <c:pt idx="0">
                  <c:v>Assets 2026 Q2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Data!$A$7:$A$17</c15:sqref>
                  </c15:fullRef>
                </c:ext>
              </c:extLst>
              <c:f>Data!$A$7:$A$16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LOLC Finance</c:v>
                </c:pt>
                <c:pt idx="6">
                  <c:v>MyBucks</c:v>
                </c:pt>
                <c:pt idx="7">
                  <c:v>Vision Fund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Data!$B$7:$B$17</c15:sqref>
                  </c15:fullRef>
                </c:ext>
              </c:extLst>
              <c:f>Data!$B$7:$B$16</c:f>
              <c:numCache>
                <c:formatCode>_-* #,##0_-;\-* #,##0_-;_-* "-"??_-;_-@_-</c:formatCode>
                <c:ptCount val="10"/>
                <c:pt idx="0">
                  <c:v>4736183</c:v>
                </c:pt>
                <c:pt idx="1">
                  <c:v>3737255</c:v>
                </c:pt>
                <c:pt idx="2">
                  <c:v>4722376</c:v>
                </c:pt>
                <c:pt idx="3">
                  <c:v>1799369</c:v>
                </c:pt>
                <c:pt idx="4">
                  <c:v>844730</c:v>
                </c:pt>
                <c:pt idx="5">
                  <c:v>1372545</c:v>
                </c:pt>
                <c:pt idx="6">
                  <c:v>0</c:v>
                </c:pt>
                <c:pt idx="7">
                  <c:v>552881</c:v>
                </c:pt>
                <c:pt idx="8">
                  <c:v>369974</c:v>
                </c:pt>
                <c:pt idx="9">
                  <c:v>246321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5-4374-A771-416D1462C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002144"/>
        <c:axId val="393998616"/>
      </c:barChart>
      <c:catAx>
        <c:axId val="39400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3998616"/>
        <c:crosses val="autoZero"/>
        <c:auto val="1"/>
        <c:lblAlgn val="ctr"/>
        <c:lblOffset val="100"/>
        <c:noMultiLvlLbl val="0"/>
      </c:catAx>
      <c:valAx>
        <c:axId val="393998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40021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750" baseline="0"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Interest Income vs Interese Expenditure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Data!$B$37</c:f>
              <c:strCache>
                <c:ptCount val="1"/>
                <c:pt idx="0">
                  <c:v>Interest Inc.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Data!$A$38:$A$47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MyBucks</c:v>
                </c:pt>
                <c:pt idx="6">
                  <c:v>Finca</c:v>
                </c:pt>
                <c:pt idx="7">
                  <c:v>LOLC Finance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Data!$B$38:$B$47</c:f>
              <c:numCache>
                <c:formatCode>_-* #,##0_-;\-* #,##0_-;_-* "-"??_-;_-@_-</c:formatCode>
                <c:ptCount val="10"/>
                <c:pt idx="0">
                  <c:v>320202</c:v>
                </c:pt>
                <c:pt idx="1">
                  <c:v>209192</c:v>
                </c:pt>
                <c:pt idx="2">
                  <c:v>206082</c:v>
                </c:pt>
                <c:pt idx="3">
                  <c:v>118570</c:v>
                </c:pt>
                <c:pt idx="4">
                  <c:v>72597</c:v>
                </c:pt>
                <c:pt idx="5">
                  <c:v>0</c:v>
                </c:pt>
                <c:pt idx="6">
                  <c:v>36935</c:v>
                </c:pt>
                <c:pt idx="7">
                  <c:v>64330</c:v>
                </c:pt>
                <c:pt idx="8">
                  <c:v>66033</c:v>
                </c:pt>
                <c:pt idx="9">
                  <c:v>17806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9E-4919-A463-3062AE462C36}"/>
            </c:ext>
          </c:extLst>
        </c:ser>
        <c:ser>
          <c:idx val="1"/>
          <c:order val="1"/>
          <c:tx>
            <c:strRef>
              <c:f>Data!$C$37</c:f>
              <c:strCache>
                <c:ptCount val="1"/>
                <c:pt idx="0">
                  <c:v>Interest Exp. 2026 Q2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Data!$A$38:$A$47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MyBucks</c:v>
                </c:pt>
                <c:pt idx="6">
                  <c:v>Finca</c:v>
                </c:pt>
                <c:pt idx="7">
                  <c:v>LOLC Finance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Data!$C$38:$C$47</c:f>
              <c:numCache>
                <c:formatCode>_-* #,##0_-;\-* #,##0_-;_-* "-"??_-;_-@_-</c:formatCode>
                <c:ptCount val="10"/>
                <c:pt idx="0">
                  <c:v>119456</c:v>
                </c:pt>
                <c:pt idx="1">
                  <c:v>36286</c:v>
                </c:pt>
                <c:pt idx="2">
                  <c:v>87027</c:v>
                </c:pt>
                <c:pt idx="3">
                  <c:v>52720</c:v>
                </c:pt>
                <c:pt idx="4">
                  <c:v>24739</c:v>
                </c:pt>
                <c:pt idx="5">
                  <c:v>0</c:v>
                </c:pt>
                <c:pt idx="6">
                  <c:v>12136</c:v>
                </c:pt>
                <c:pt idx="7">
                  <c:v>42259</c:v>
                </c:pt>
                <c:pt idx="8">
                  <c:v>17769</c:v>
                </c:pt>
                <c:pt idx="9">
                  <c:v>10928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9E-4919-A463-3062AE462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754480"/>
        <c:axId val="396748208"/>
      </c:barChart>
      <c:catAx>
        <c:axId val="39675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48208"/>
        <c:crosses val="autoZero"/>
        <c:auto val="1"/>
        <c:lblAlgn val="ctr"/>
        <c:lblOffset val="100"/>
        <c:noMultiLvlLbl val="0"/>
      </c:catAx>
      <c:valAx>
        <c:axId val="39674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544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Total Income vs Net Interest 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Data!$F$37</c:f>
              <c:strCache>
                <c:ptCount val="1"/>
                <c:pt idx="0">
                  <c:v>Total Income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Data!$E$38:$E$47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LOLC Finance</c:v>
                </c:pt>
                <c:pt idx="6">
                  <c:v>Vision Fund</c:v>
                </c:pt>
                <c:pt idx="7">
                  <c:v>MyBucks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Data!$F$38:$F$47</c:f>
              <c:numCache>
                <c:formatCode>_-* #,##0_-;\-* #,##0_-;_-* "-"??_-;_-@_-</c:formatCode>
                <c:ptCount val="10"/>
                <c:pt idx="0">
                  <c:v>230524</c:v>
                </c:pt>
                <c:pt idx="1">
                  <c:v>215674</c:v>
                </c:pt>
                <c:pt idx="2">
                  <c:v>142851</c:v>
                </c:pt>
                <c:pt idx="3">
                  <c:v>107300</c:v>
                </c:pt>
                <c:pt idx="4">
                  <c:v>59262</c:v>
                </c:pt>
                <c:pt idx="5">
                  <c:v>83824</c:v>
                </c:pt>
                <c:pt idx="6">
                  <c:v>64547</c:v>
                </c:pt>
                <c:pt idx="7">
                  <c:v>0</c:v>
                </c:pt>
                <c:pt idx="8">
                  <c:v>19230</c:v>
                </c:pt>
                <c:pt idx="9">
                  <c:v>-14481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8B-4F9F-882E-E1B1FD8FF0CA}"/>
            </c:ext>
          </c:extLst>
        </c:ser>
        <c:ser>
          <c:idx val="1"/>
          <c:order val="1"/>
          <c:tx>
            <c:strRef>
              <c:f>Data!$G$37</c:f>
              <c:strCache>
                <c:ptCount val="1"/>
                <c:pt idx="0">
                  <c:v>Net Int. Inc. 2026 Q2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Data!$E$38:$E$47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LOLC Finance</c:v>
                </c:pt>
                <c:pt idx="6">
                  <c:v>Vision Fund</c:v>
                </c:pt>
                <c:pt idx="7">
                  <c:v>MyBucks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Data!$G$38:$G$47</c:f>
              <c:numCache>
                <c:formatCode>_-* #,##0_-;\-* #,##0_-;_-* "-"??_-;_-@_-</c:formatCode>
                <c:ptCount val="10"/>
                <c:pt idx="0">
                  <c:v>201262</c:v>
                </c:pt>
                <c:pt idx="1">
                  <c:v>171690</c:v>
                </c:pt>
                <c:pt idx="2">
                  <c:v>117881</c:v>
                </c:pt>
                <c:pt idx="3">
                  <c:v>60860</c:v>
                </c:pt>
                <c:pt idx="4">
                  <c:v>45714</c:v>
                </c:pt>
                <c:pt idx="5">
                  <c:v>17167</c:v>
                </c:pt>
                <c:pt idx="6">
                  <c:v>45210</c:v>
                </c:pt>
                <c:pt idx="7">
                  <c:v>0</c:v>
                </c:pt>
                <c:pt idx="8">
                  <c:v>19586</c:v>
                </c:pt>
                <c:pt idx="9">
                  <c:v>-17261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8B-4F9F-882E-E1B1FD8FF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6750560"/>
        <c:axId val="397570680"/>
      </c:barChart>
      <c:catAx>
        <c:axId val="39675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70680"/>
        <c:crosses val="autoZero"/>
        <c:auto val="1"/>
        <c:lblAlgn val="ctr"/>
        <c:lblOffset val="100"/>
        <c:noMultiLvlLbl val="0"/>
      </c:catAx>
      <c:valAx>
        <c:axId val="39757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505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Total Income vs Non-Interest Expenditure vs PAT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Data!$J$37</c:f>
              <c:strCache>
                <c:ptCount val="1"/>
                <c:pt idx="0">
                  <c:v>Total Income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Data!$I$38:$I$47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Microfinance</c:v>
                </c:pt>
                <c:pt idx="3">
                  <c:v>Natsave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Finca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Data!$J$38:$J$47</c:f>
              <c:numCache>
                <c:formatCode>General</c:formatCode>
                <c:ptCount val="10"/>
                <c:pt idx="0">
                  <c:v>230524</c:v>
                </c:pt>
                <c:pt idx="1">
                  <c:v>142851</c:v>
                </c:pt>
                <c:pt idx="2">
                  <c:v>107300</c:v>
                </c:pt>
                <c:pt idx="3">
                  <c:v>215674</c:v>
                </c:pt>
                <c:pt idx="4">
                  <c:v>83824</c:v>
                </c:pt>
                <c:pt idx="5">
                  <c:v>59262</c:v>
                </c:pt>
                <c:pt idx="6">
                  <c:v>0</c:v>
                </c:pt>
                <c:pt idx="7">
                  <c:v>19230</c:v>
                </c:pt>
                <c:pt idx="8">
                  <c:v>64547</c:v>
                </c:pt>
                <c:pt idx="9">
                  <c:v>-14481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5-49EF-9474-53385EE1C82A}"/>
            </c:ext>
          </c:extLst>
        </c:ser>
        <c:ser>
          <c:idx val="1"/>
          <c:order val="1"/>
          <c:tx>
            <c:strRef>
              <c:f>Data!$K$37</c:f>
              <c:strCache>
                <c:ptCount val="1"/>
                <c:pt idx="0">
                  <c:v>Non Int. Exp. 2026 Q2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Data!$I$38:$I$47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Microfinance</c:v>
                </c:pt>
                <c:pt idx="3">
                  <c:v>Natsave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Finca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Data!$K$38:$K$47</c:f>
              <c:numCache>
                <c:formatCode>General</c:formatCode>
                <c:ptCount val="10"/>
                <c:pt idx="0">
                  <c:v>89736</c:v>
                </c:pt>
                <c:pt idx="1">
                  <c:v>110266</c:v>
                </c:pt>
                <c:pt idx="2">
                  <c:v>52854</c:v>
                </c:pt>
                <c:pt idx="3">
                  <c:v>131043</c:v>
                </c:pt>
                <c:pt idx="4">
                  <c:v>41442</c:v>
                </c:pt>
                <c:pt idx="5">
                  <c:v>36824</c:v>
                </c:pt>
                <c:pt idx="6">
                  <c:v>0</c:v>
                </c:pt>
                <c:pt idx="7">
                  <c:v>23049</c:v>
                </c:pt>
                <c:pt idx="8">
                  <c:v>48838</c:v>
                </c:pt>
                <c:pt idx="9">
                  <c:v>13152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05-49EF-9474-53385EE1C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567152"/>
        <c:axId val="397571072"/>
      </c:barChart>
      <c:lineChart>
        <c:grouping val="standard"/>
        <c:varyColors val="0"/>
        <c:ser>
          <c:idx val="2"/>
          <c:order val="2"/>
          <c:tx>
            <c:strRef>
              <c:f>Data!$L$37</c:f>
              <c:strCache>
                <c:ptCount val="1"/>
                <c:pt idx="0">
                  <c:v>PAT 2026 Q2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Data!$I$38:$I$47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Microfinance</c:v>
                </c:pt>
                <c:pt idx="3">
                  <c:v>Natsave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Finca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Data!$L$38:$L$47</c:f>
              <c:numCache>
                <c:formatCode>General</c:formatCode>
                <c:ptCount val="10"/>
                <c:pt idx="0">
                  <c:v>98552</c:v>
                </c:pt>
                <c:pt idx="1">
                  <c:v>32585</c:v>
                </c:pt>
                <c:pt idx="2">
                  <c:v>38112</c:v>
                </c:pt>
                <c:pt idx="3">
                  <c:v>84631</c:v>
                </c:pt>
                <c:pt idx="4">
                  <c:v>27282</c:v>
                </c:pt>
                <c:pt idx="5">
                  <c:v>15707</c:v>
                </c:pt>
                <c:pt idx="6">
                  <c:v>0</c:v>
                </c:pt>
                <c:pt idx="7">
                  <c:v>-3819</c:v>
                </c:pt>
                <c:pt idx="8" formatCode="_(* #,##0_);_(* \(#,##0\);_(* &quot;-&quot;??_);_(@_)">
                  <c:v>11209</c:v>
                </c:pt>
                <c:pt idx="9" formatCode="_(* #,##0_);_(* \(#,##0\);_(* &quot;-&quot;??_);_(@_)">
                  <c:v>-27633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5-49EF-9474-53385EE1C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569504"/>
        <c:axId val="397571464"/>
      </c:lineChart>
      <c:catAx>
        <c:axId val="39756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71072"/>
        <c:crosses val="autoZero"/>
        <c:auto val="1"/>
        <c:lblAlgn val="ctr"/>
        <c:lblOffset val="100"/>
        <c:noMultiLvlLbl val="0"/>
      </c:catAx>
      <c:valAx>
        <c:axId val="39757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67152"/>
        <c:crosses val="autoZero"/>
        <c:crossBetween val="between"/>
      </c:valAx>
      <c:valAx>
        <c:axId val="39757146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69504"/>
        <c:crosses val="max"/>
        <c:crossBetween val="between"/>
      </c:valAx>
      <c:catAx>
        <c:axId val="397569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75714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Data!$B$53</c:f>
              <c:strCache>
                <c:ptCount val="1"/>
                <c:pt idx="0">
                  <c:v>Diversity 2026 Q2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Data!$A$54:$A$63</c:f>
              <c:strCache>
                <c:ptCount val="10"/>
                <c:pt idx="0">
                  <c:v>LOLC Finance</c:v>
                </c:pt>
                <c:pt idx="1">
                  <c:v>Microfinance</c:v>
                </c:pt>
                <c:pt idx="2">
                  <c:v>Vision Fund</c:v>
                </c:pt>
                <c:pt idx="3">
                  <c:v>Natsave</c:v>
                </c:pt>
                <c:pt idx="4">
                  <c:v>EFC</c:v>
                </c:pt>
                <c:pt idx="5">
                  <c:v>ZNBS</c:v>
                </c:pt>
                <c:pt idx="6">
                  <c:v>MyBucks</c:v>
                </c:pt>
                <c:pt idx="7">
                  <c:v>Madison Finance</c:v>
                </c:pt>
                <c:pt idx="8">
                  <c:v>Finca</c:v>
                </c:pt>
                <c:pt idx="9">
                  <c:v>Bayport</c:v>
                </c:pt>
              </c:strCache>
            </c:strRef>
          </c:cat>
          <c:val>
            <c:numRef>
              <c:f>Data!$B$54:$B$63</c:f>
              <c:numCache>
                <c:formatCode>0.0%</c:formatCode>
                <c:ptCount val="10"/>
                <c:pt idx="0">
                  <c:v>0.76225443448407404</c:v>
                </c:pt>
                <c:pt idx="1">
                  <c:v>0.41834249631779274</c:v>
                </c:pt>
                <c:pt idx="2">
                  <c:v>0.27952444263416359</c:v>
                </c:pt>
                <c:pt idx="3">
                  <c:v>0.19240884777987993</c:v>
                </c:pt>
                <c:pt idx="4">
                  <c:v>0.19320864354457962</c:v>
                </c:pt>
                <c:pt idx="5">
                  <c:v>0.17096004471323339</c:v>
                </c:pt>
                <c:pt idx="6">
                  <c:v>0</c:v>
                </c:pt>
                <c:pt idx="7">
                  <c:v>0.26127730916330488</c:v>
                </c:pt>
                <c:pt idx="8">
                  <c:v>-2.6862075095301113E-2</c:v>
                </c:pt>
                <c:pt idx="9">
                  <c:v>0.1251028145691771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2-4E5B-A3E7-7977C1985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397572640"/>
        <c:axId val="397569896"/>
      </c:barChart>
      <c:catAx>
        <c:axId val="3975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69896"/>
        <c:crosses val="autoZero"/>
        <c:auto val="1"/>
        <c:lblAlgn val="ctr"/>
        <c:lblOffset val="100"/>
        <c:noMultiLvlLbl val="0"/>
      </c:catAx>
      <c:valAx>
        <c:axId val="3975698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72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Data!$E$53</c:f>
              <c:strCache>
                <c:ptCount val="1"/>
                <c:pt idx="0">
                  <c:v>CTI 2026 Q2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Data!$D$54:$D$63</c:f>
              <c:strCache>
                <c:ptCount val="10"/>
                <c:pt idx="0">
                  <c:v>Bayport</c:v>
                </c:pt>
                <c:pt idx="1">
                  <c:v>Microfinance</c:v>
                </c:pt>
                <c:pt idx="2">
                  <c:v>LOLC Finance</c:v>
                </c:pt>
                <c:pt idx="3">
                  <c:v>MyBucks</c:v>
                </c:pt>
                <c:pt idx="4">
                  <c:v>ZNBS</c:v>
                </c:pt>
                <c:pt idx="5">
                  <c:v>EFC</c:v>
                </c:pt>
                <c:pt idx="6">
                  <c:v>Natsave</c:v>
                </c:pt>
                <c:pt idx="7">
                  <c:v>Finca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Data!$E$54:$E$63</c:f>
              <c:numCache>
                <c:formatCode>0.0%</c:formatCode>
                <c:ptCount val="10"/>
                <c:pt idx="0">
                  <c:v>0.39682408779875905</c:v>
                </c:pt>
                <c:pt idx="1">
                  <c:v>0.48927420413282197</c:v>
                </c:pt>
                <c:pt idx="2">
                  <c:v>0.47505602708373068</c:v>
                </c:pt>
                <c:pt idx="3">
                  <c:v>0</c:v>
                </c:pt>
                <c:pt idx="4">
                  <c:v>0.74618432743844765</c:v>
                </c:pt>
                <c:pt idx="5">
                  <c:v>0.6506178283915709</c:v>
                </c:pt>
                <c:pt idx="6">
                  <c:v>0.63353654263891812</c:v>
                </c:pt>
                <c:pt idx="7">
                  <c:v>0.86825732287819235</c:v>
                </c:pt>
                <c:pt idx="8">
                  <c:v>0.73662206715288081</c:v>
                </c:pt>
                <c:pt idx="9">
                  <c:v>1.3573636506522764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E-49CB-B43C-4C9BD6AFA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397565584"/>
        <c:axId val="397565976"/>
      </c:barChart>
      <c:catAx>
        <c:axId val="39756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65976"/>
        <c:crosses val="autoZero"/>
        <c:auto val="1"/>
        <c:lblAlgn val="ctr"/>
        <c:lblOffset val="100"/>
        <c:noMultiLvlLbl val="0"/>
      </c:catAx>
      <c:valAx>
        <c:axId val="3975659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65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Return On Assets 2025</a:t>
            </a:r>
            <a:r>
              <a:rPr lang="en-US" baseline="0"/>
              <a:t> </a:t>
            </a:r>
            <a:r>
              <a:rPr lang="en-US"/>
              <a:t>Q3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Data!$H$53</c:f>
              <c:strCache>
                <c:ptCount val="1"/>
                <c:pt idx="0">
                  <c:v>ROA 2026 Q2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Data!$G$54:$G$63</c:f>
              <c:strCache>
                <c:ptCount val="10"/>
                <c:pt idx="0">
                  <c:v>LOLC Finance</c:v>
                </c:pt>
                <c:pt idx="1">
                  <c:v>Bayport</c:v>
                </c:pt>
                <c:pt idx="2">
                  <c:v>Microfinance</c:v>
                </c:pt>
                <c:pt idx="3">
                  <c:v>MyBucks</c:v>
                </c:pt>
                <c:pt idx="4">
                  <c:v>ZNBS</c:v>
                </c:pt>
                <c:pt idx="5">
                  <c:v>EFC</c:v>
                </c:pt>
                <c:pt idx="6">
                  <c:v>Natsave</c:v>
                </c:pt>
                <c:pt idx="7">
                  <c:v>Finca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Data!$H$54:$H$63</c:f>
              <c:numCache>
                <c:formatCode>0.00%</c:formatCode>
                <c:ptCount val="10"/>
                <c:pt idx="0">
                  <c:v>7.7320460866535851E-2</c:v>
                </c:pt>
                <c:pt idx="1">
                  <c:v>8.3090524927564927E-2</c:v>
                </c:pt>
                <c:pt idx="2">
                  <c:v>7.9691659417469751E-2</c:v>
                </c:pt>
                <c:pt idx="3">
                  <c:v>0</c:v>
                </c:pt>
                <c:pt idx="4">
                  <c:v>3.0080398194110018E-2</c:v>
                </c:pt>
                <c:pt idx="5">
                  <c:v>5.5487041163927296E-2</c:v>
                </c:pt>
                <c:pt idx="6">
                  <c:v>7.4425041735276587E-2</c:v>
                </c:pt>
                <c:pt idx="7">
                  <c:v>-1.1139743422585082E-2</c:v>
                </c:pt>
                <c:pt idx="8">
                  <c:v>8.2541093451151223E-2</c:v>
                </c:pt>
                <c:pt idx="9">
                  <c:v>-0.36693886896130656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A-4719-B122-6151A29FB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397566760"/>
        <c:axId val="397567544"/>
      </c:barChart>
      <c:catAx>
        <c:axId val="397566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67544"/>
        <c:crosses val="autoZero"/>
        <c:auto val="1"/>
        <c:lblAlgn val="ctr"/>
        <c:lblOffset val="100"/>
        <c:noMultiLvlLbl val="0"/>
      </c:catAx>
      <c:valAx>
        <c:axId val="39756754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5667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Data!$B$66</c:f>
              <c:strCache>
                <c:ptCount val="1"/>
                <c:pt idx="0">
                  <c:v>Impairment Charges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Data!$A$67:$A$76</c:f>
              <c:strCache>
                <c:ptCount val="10"/>
                <c:pt idx="0">
                  <c:v>Bayport</c:v>
                </c:pt>
                <c:pt idx="1">
                  <c:v>MyBucks</c:v>
                </c:pt>
                <c:pt idx="2">
                  <c:v>Madison Finance</c:v>
                </c:pt>
                <c:pt idx="3">
                  <c:v>ZNBS</c:v>
                </c:pt>
                <c:pt idx="4">
                  <c:v>Vision Fund</c:v>
                </c:pt>
                <c:pt idx="5">
                  <c:v>Finca</c:v>
                </c:pt>
                <c:pt idx="6">
                  <c:v>EFC</c:v>
                </c:pt>
                <c:pt idx="7">
                  <c:v>LOLC Finance</c:v>
                </c:pt>
                <c:pt idx="8">
                  <c:v>Natsave</c:v>
                </c:pt>
                <c:pt idx="9">
                  <c:v>Microfinance</c:v>
                </c:pt>
              </c:strCache>
            </c:strRef>
          </c:cat>
          <c:val>
            <c:numRef>
              <c:f>Data!$B$67:$B$76</c:f>
              <c:numCache>
                <c:formatCode>_(* #,##0_);_(* \(#,##0\);_(* "-"??_);_(@_)</c:formatCode>
                <c:ptCount val="10"/>
                <c:pt idx="0">
                  <c:v>-516</c:v>
                </c:pt>
                <c:pt idx="1">
                  <c:v>0</c:v>
                </c:pt>
                <c:pt idx="2">
                  <c:v>24139</c:v>
                </c:pt>
                <c:pt idx="3">
                  <c:v>1174</c:v>
                </c:pt>
                <c:pt idx="4" formatCode="_-* #,##0_-;\-* #,##0_-;_-* &quot;-&quot;??_-;_-@_-">
                  <c:v>3054</c:v>
                </c:pt>
                <c:pt idx="5" formatCode="_-* #,##0_-;\-* #,##0_-;_-* &quot;-&quot;??_-;_-@_-">
                  <c:v>5213</c:v>
                </c:pt>
                <c:pt idx="6" formatCode="_-* #,##0_-;\-* #,##0_-;_-* &quot;-&quot;??_-;_-@_-">
                  <c:v>2144</c:v>
                </c:pt>
                <c:pt idx="7" formatCode="_-* #,##0_-;\-* #,##0_-;_-* &quot;-&quot;??_-;_-@_-">
                  <c:v>4904</c:v>
                </c:pt>
                <c:pt idx="8" formatCode="_-* #,##0_-;\-* #,##0_-;_-* &quot;-&quot;??_-;_-@_-">
                  <c:v>1216</c:v>
                </c:pt>
                <c:pt idx="9" formatCode="_-* #,##0_-;\-* #,##0_-;_-* &quot;-&quot;??_-;_-@_-">
                  <c:v>4990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F-481B-891E-D52A46F62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153048"/>
        <c:axId val="398150696"/>
      </c:barChart>
      <c:catAx>
        <c:axId val="398153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50696"/>
        <c:crosses val="autoZero"/>
        <c:auto val="1"/>
        <c:lblAlgn val="ctr"/>
        <c:lblOffset val="100"/>
        <c:noMultiLvlLbl val="0"/>
      </c:catAx>
      <c:valAx>
        <c:axId val="39815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530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Data!$E$66</c:f>
              <c:strCache>
                <c:ptCount val="1"/>
                <c:pt idx="0">
                  <c:v>Net Loans &amp; Advances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Data!$D$67:$D$76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Vision Fund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Data!$E$67:$E$76</c:f>
              <c:numCache>
                <c:formatCode>_-* #,##0_-;\-* #,##0_-;_-* "-"??_-;_-@_-</c:formatCode>
                <c:ptCount val="10"/>
                <c:pt idx="0">
                  <c:v>3912125</c:v>
                </c:pt>
                <c:pt idx="1">
                  <c:v>2253761</c:v>
                </c:pt>
                <c:pt idx="2">
                  <c:v>2728660</c:v>
                </c:pt>
                <c:pt idx="3">
                  <c:v>1259747</c:v>
                </c:pt>
                <c:pt idx="4">
                  <c:v>891138</c:v>
                </c:pt>
                <c:pt idx="5">
                  <c:v>492402</c:v>
                </c:pt>
                <c:pt idx="6">
                  <c:v>0</c:v>
                </c:pt>
                <c:pt idx="7">
                  <c:v>433528</c:v>
                </c:pt>
                <c:pt idx="8">
                  <c:v>195120</c:v>
                </c:pt>
                <c:pt idx="9">
                  <c:v>168718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3-4A8E-8AA7-0CF493900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149520"/>
        <c:axId val="398152264"/>
      </c:barChart>
      <c:catAx>
        <c:axId val="39814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52264"/>
        <c:crosses val="autoZero"/>
        <c:auto val="1"/>
        <c:lblAlgn val="ctr"/>
        <c:lblOffset val="100"/>
        <c:noMultiLvlLbl val="0"/>
      </c:catAx>
      <c:valAx>
        <c:axId val="398152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49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Net loans &amp; Advances vs Loans Impairments as a % of Loans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Data!$H$66</c:f>
              <c:strCache>
                <c:ptCount val="1"/>
                <c:pt idx="0">
                  <c:v>Loans &amp; Advances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Data!$G$67:$G$76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Vision Fund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Data!$H$67:$H$76</c:f>
              <c:numCache>
                <c:formatCode>_-* #,##0_-;\-* #,##0_-;_-* "-"??_-;_-@_-</c:formatCode>
                <c:ptCount val="10"/>
                <c:pt idx="0">
                  <c:v>3912125</c:v>
                </c:pt>
                <c:pt idx="1">
                  <c:v>2253761</c:v>
                </c:pt>
                <c:pt idx="2">
                  <c:v>2728660</c:v>
                </c:pt>
                <c:pt idx="3">
                  <c:v>1259747</c:v>
                </c:pt>
                <c:pt idx="4">
                  <c:v>891138</c:v>
                </c:pt>
                <c:pt idx="5">
                  <c:v>492402</c:v>
                </c:pt>
                <c:pt idx="6">
                  <c:v>0</c:v>
                </c:pt>
                <c:pt idx="7">
                  <c:v>433528</c:v>
                </c:pt>
                <c:pt idx="8">
                  <c:v>195120</c:v>
                </c:pt>
                <c:pt idx="9">
                  <c:v>168718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7-4F39-B90A-1CD46D2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149912"/>
        <c:axId val="398150304"/>
      </c:barChart>
      <c:lineChart>
        <c:grouping val="standard"/>
        <c:varyColors val="0"/>
        <c:ser>
          <c:idx val="1"/>
          <c:order val="1"/>
          <c:tx>
            <c:strRef>
              <c:f>Data!$I$66</c:f>
              <c:strCache>
                <c:ptCount val="1"/>
                <c:pt idx="0">
                  <c:v>Impairments as %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Data!$G$67:$G$76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Vision Fund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Data!$I$67:$I$76</c:f>
              <c:numCache>
                <c:formatCode>0.00%</c:formatCode>
                <c:ptCount val="10"/>
                <c:pt idx="0">
                  <c:v>4.3230749033200426E-3</c:v>
                </c:pt>
                <c:pt idx="1">
                  <c:v>1.1392184835937229E-2</c:v>
                </c:pt>
                <c:pt idx="2">
                  <c:v>1.6924496917134602E-2</c:v>
                </c:pt>
                <c:pt idx="3">
                  <c:v>1.2266956176681275E-2</c:v>
                </c:pt>
                <c:pt idx="4">
                  <c:v>2.4236187264810513E-2</c:v>
                </c:pt>
                <c:pt idx="5">
                  <c:v>3.0245415935505202E-2</c:v>
                </c:pt>
                <c:pt idx="6">
                  <c:v>0</c:v>
                </c:pt>
                <c:pt idx="7">
                  <c:v>2.3230918405560089E-2</c:v>
                </c:pt>
                <c:pt idx="8">
                  <c:v>8.0557844097856629E-2</c:v>
                </c:pt>
                <c:pt idx="9">
                  <c:v>0.43638498211211857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C7-4F39-B90A-1CD46D2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151088"/>
        <c:axId val="398153832"/>
      </c:lineChart>
      <c:catAx>
        <c:axId val="39814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50304"/>
        <c:crosses val="autoZero"/>
        <c:auto val="1"/>
        <c:lblAlgn val="ctr"/>
        <c:lblOffset val="100"/>
        <c:noMultiLvlLbl val="0"/>
      </c:catAx>
      <c:valAx>
        <c:axId val="39815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49912"/>
        <c:crosses val="autoZero"/>
        <c:crossBetween val="between"/>
      </c:valAx>
      <c:valAx>
        <c:axId val="398153832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51088"/>
        <c:crosses val="max"/>
        <c:crossBetween val="between"/>
      </c:valAx>
      <c:catAx>
        <c:axId val="398151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81538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65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Gross Loans vs Allowances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Data!$L$66</c:f>
              <c:strCache>
                <c:ptCount val="1"/>
                <c:pt idx="0">
                  <c:v>Gross loans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Data!$K$67:$K$76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Madison Finance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Data!$L$67:$L$76</c:f>
              <c:numCache>
                <c:formatCode>_-* #,##0_-;\-* #,##0_-;_-* "-"??_-;_-@_-</c:formatCode>
                <c:ptCount val="10"/>
                <c:pt idx="0">
                  <c:v>3912125</c:v>
                </c:pt>
                <c:pt idx="1">
                  <c:v>2253761</c:v>
                </c:pt>
                <c:pt idx="2">
                  <c:v>2728660</c:v>
                </c:pt>
                <c:pt idx="3">
                  <c:v>1259747</c:v>
                </c:pt>
                <c:pt idx="4">
                  <c:v>950343</c:v>
                </c:pt>
                <c:pt idx="5">
                  <c:v>492402</c:v>
                </c:pt>
                <c:pt idx="6">
                  <c:v>0</c:v>
                </c:pt>
                <c:pt idx="7">
                  <c:v>168718</c:v>
                </c:pt>
                <c:pt idx="8">
                  <c:v>440140</c:v>
                </c:pt>
                <c:pt idx="9">
                  <c:v>232439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25-4D8E-B216-F4C9E1329AD5}"/>
            </c:ext>
          </c:extLst>
        </c:ser>
        <c:ser>
          <c:idx val="1"/>
          <c:order val="1"/>
          <c:tx>
            <c:strRef>
              <c:f>Data!$M$66</c:f>
              <c:strCache>
                <c:ptCount val="1"/>
                <c:pt idx="0">
                  <c:v>Allowances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Data!$K$67:$K$76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Madison Finance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Data!$M$67:$M$76</c:f>
              <c:numCache>
                <c:formatCode>_-* #,##0_-;\-* #,##0_-;_-*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59205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6612</c:v>
                </c:pt>
                <c:pt idx="9">
                  <c:v>37319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25-4D8E-B216-F4C9E1329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149128"/>
        <c:axId val="398148344"/>
      </c:barChart>
      <c:catAx>
        <c:axId val="3981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48344"/>
        <c:crosses val="autoZero"/>
        <c:auto val="1"/>
        <c:lblAlgn val="ctr"/>
        <c:lblOffset val="100"/>
        <c:noMultiLvlLbl val="0"/>
      </c:catAx>
      <c:valAx>
        <c:axId val="39814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Share of Total Assets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Data!$D$6</c:f>
              <c:strCache>
                <c:ptCount val="1"/>
                <c:pt idx="0">
                  <c:v>% Share 2026 Q2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Data!$C$7:$C$16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LOLC Finance</c:v>
                </c:pt>
                <c:pt idx="6">
                  <c:v>MyBucks</c:v>
                </c:pt>
                <c:pt idx="7">
                  <c:v>Vision Fund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Data!$D$7:$D$16</c:f>
              <c:numCache>
                <c:formatCode>0.00%</c:formatCode>
                <c:ptCount val="10"/>
                <c:pt idx="0">
                  <c:v>0.25765843232435159</c:v>
                </c:pt>
                <c:pt idx="1">
                  <c:v>0.20331462371625939</c:v>
                </c:pt>
                <c:pt idx="2">
                  <c:v>0.25690730214734991</c:v>
                </c:pt>
                <c:pt idx="3">
                  <c:v>9.7889502097582834E-2</c:v>
                </c:pt>
                <c:pt idx="4">
                  <c:v>4.5955109322707653E-2</c:v>
                </c:pt>
                <c:pt idx="5">
                  <c:v>7.4669368348863868E-2</c:v>
                </c:pt>
                <c:pt idx="6">
                  <c:v>0</c:v>
                </c:pt>
                <c:pt idx="7">
                  <c:v>3.0077902758808058E-2</c:v>
                </c:pt>
                <c:pt idx="8">
                  <c:v>2.012737278960075E-2</c:v>
                </c:pt>
                <c:pt idx="9">
                  <c:v>1.3400386494475953E-2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F9-4A0B-833E-486E92FB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002928"/>
        <c:axId val="394005280"/>
      </c:barChart>
      <c:catAx>
        <c:axId val="39400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4005280"/>
        <c:crosses val="autoZero"/>
        <c:auto val="1"/>
        <c:lblAlgn val="ctr"/>
        <c:lblOffset val="100"/>
        <c:noMultiLvlLbl val="0"/>
      </c:catAx>
      <c:valAx>
        <c:axId val="39400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40029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Gross Loans Q on 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Data!$O$21</c:f>
              <c:strCache>
                <c:ptCount val="1"/>
                <c:pt idx="0">
                  <c:v>Gross Loans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Data!$N$22:$N$31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Madison Finance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Data!$O$22:$O$31</c:f>
              <c:numCache>
                <c:formatCode>_-* #,##0_-;\-* #,##0_-;_-* "-"??_-;_-@_-</c:formatCode>
                <c:ptCount val="10"/>
                <c:pt idx="0">
                  <c:v>3912125</c:v>
                </c:pt>
                <c:pt idx="1">
                  <c:v>2253761</c:v>
                </c:pt>
                <c:pt idx="2">
                  <c:v>2728660</c:v>
                </c:pt>
                <c:pt idx="3">
                  <c:v>1259747</c:v>
                </c:pt>
                <c:pt idx="4">
                  <c:v>950343</c:v>
                </c:pt>
                <c:pt idx="5">
                  <c:v>492402</c:v>
                </c:pt>
                <c:pt idx="6">
                  <c:v>0</c:v>
                </c:pt>
                <c:pt idx="7">
                  <c:v>168718</c:v>
                </c:pt>
                <c:pt idx="8">
                  <c:v>440140</c:v>
                </c:pt>
                <c:pt idx="9">
                  <c:v>232439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0-466B-8B77-4B3888E939A2}"/>
            </c:ext>
          </c:extLst>
        </c:ser>
        <c:ser>
          <c:idx val="1"/>
          <c:order val="1"/>
          <c:tx>
            <c:strRef>
              <c:f>Data!$P$21</c:f>
              <c:strCache>
                <c:ptCount val="1"/>
                <c:pt idx="0">
                  <c:v>Gross Loans 2026 Q1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Data!$N$22:$N$31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Madison Finance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Data!$P$22:$P$31</c:f>
              <c:numCache>
                <c:formatCode>_-* #,##0_-;\-* #,##0_-;_-* "-"??_-;_-@_-</c:formatCode>
                <c:ptCount val="10"/>
                <c:pt idx="0">
                  <c:v>3789722</c:v>
                </c:pt>
                <c:pt idx="1">
                  <c:v>2296401</c:v>
                </c:pt>
                <c:pt idx="2">
                  <c:v>2619524</c:v>
                </c:pt>
                <c:pt idx="3">
                  <c:v>1101541</c:v>
                </c:pt>
                <c:pt idx="4">
                  <c:v>865674</c:v>
                </c:pt>
                <c:pt idx="5">
                  <c:v>448156</c:v>
                </c:pt>
                <c:pt idx="6">
                  <c:v>0</c:v>
                </c:pt>
                <c:pt idx="7">
                  <c:v>189780</c:v>
                </c:pt>
                <c:pt idx="8">
                  <c:v>417331</c:v>
                </c:pt>
                <c:pt idx="9">
                  <c:v>218151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50-466B-8B77-4B3888E93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590840"/>
        <c:axId val="398595544"/>
      </c:barChart>
      <c:lineChart>
        <c:grouping val="standard"/>
        <c:varyColors val="0"/>
        <c:ser>
          <c:idx val="2"/>
          <c:order val="2"/>
          <c:tx>
            <c:strRef>
              <c:f>Data!$Q$21</c:f>
              <c:strCache>
                <c:ptCount val="1"/>
                <c:pt idx="0">
                  <c:v>% Change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Data!$N$22:$N$31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Madison Finance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Data!$Q$22:$Q$31</c:f>
              <c:numCache>
                <c:formatCode>0.0%</c:formatCode>
                <c:ptCount val="10"/>
                <c:pt idx="0">
                  <c:v>3.2298675206255234E-2</c:v>
                </c:pt>
                <c:pt idx="1">
                  <c:v>-1.8568185608698131E-2</c:v>
                </c:pt>
                <c:pt idx="2">
                  <c:v>4.1662531055260424E-2</c:v>
                </c:pt>
                <c:pt idx="3">
                  <c:v>0.14362243438964142</c:v>
                </c:pt>
                <c:pt idx="4">
                  <c:v>9.7807026663617014E-2</c:v>
                </c:pt>
                <c:pt idx="5">
                  <c:v>9.8729014004052165E-2</c:v>
                </c:pt>
                <c:pt idx="6">
                  <c:v>0</c:v>
                </c:pt>
                <c:pt idx="7">
                  <c:v>-0.11098113605227106</c:v>
                </c:pt>
                <c:pt idx="8">
                  <c:v>5.4654458930680924E-2</c:v>
                </c:pt>
                <c:pt idx="9">
                  <c:v>6.5495917965079239E-2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0-466B-8B77-4B3888E93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591232"/>
        <c:axId val="398594368"/>
      </c:lineChart>
      <c:catAx>
        <c:axId val="398590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5544"/>
        <c:crosses val="autoZero"/>
        <c:auto val="1"/>
        <c:lblAlgn val="ctr"/>
        <c:lblOffset val="100"/>
        <c:noMultiLvlLbl val="0"/>
      </c:catAx>
      <c:valAx>
        <c:axId val="398595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0840"/>
        <c:crosses val="autoZero"/>
        <c:crossBetween val="between"/>
      </c:valAx>
      <c:valAx>
        <c:axId val="3985943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1232"/>
        <c:crosses val="max"/>
        <c:crossBetween val="between"/>
      </c:valAx>
      <c:catAx>
        <c:axId val="3985912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859436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Gross Loans Market Share Q on 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Data!$R$21</c:f>
              <c:strCache>
                <c:ptCount val="1"/>
                <c:pt idx="0">
                  <c:v>Mkt Share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Data!$N$22:$N$31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Madison Finance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Data!$R$22:$R$31</c:f>
              <c:numCache>
                <c:formatCode>0.0%</c:formatCode>
                <c:ptCount val="10"/>
                <c:pt idx="0">
                  <c:v>0.31452159794699208</c:v>
                </c:pt>
                <c:pt idx="1">
                  <c:v>0.18119474994040602</c:v>
                </c:pt>
                <c:pt idx="2">
                  <c:v>0.21937502085287139</c:v>
                </c:pt>
                <c:pt idx="3">
                  <c:v>0.10127939149411878</c:v>
                </c:pt>
                <c:pt idx="4">
                  <c:v>7.6404357978780923E-2</c:v>
                </c:pt>
                <c:pt idx="5">
                  <c:v>3.9587452822262788E-2</c:v>
                </c:pt>
                <c:pt idx="6">
                  <c:v>0</c:v>
                </c:pt>
                <c:pt idx="7">
                  <c:v>1.3564355679437803E-2</c:v>
                </c:pt>
                <c:pt idx="8">
                  <c:v>3.538576505617512E-2</c:v>
                </c:pt>
                <c:pt idx="9">
                  <c:v>1.868730822895508E-2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0-4444-8825-A2A61B6E63C4}"/>
            </c:ext>
          </c:extLst>
        </c:ser>
        <c:ser>
          <c:idx val="1"/>
          <c:order val="1"/>
          <c:tx>
            <c:strRef>
              <c:f>Data!$S$21</c:f>
              <c:strCache>
                <c:ptCount val="1"/>
                <c:pt idx="0">
                  <c:v>Mkt Share 2026 Q1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Data!$N$22:$N$31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Madison Finance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Data!$S$22:$S$31</c:f>
              <c:numCache>
                <c:formatCode>0.0%</c:formatCode>
                <c:ptCount val="10"/>
                <c:pt idx="0">
                  <c:v>0.31723030098072369</c:v>
                </c:pt>
                <c:pt idx="1">
                  <c:v>0.19222728749033172</c:v>
                </c:pt>
                <c:pt idx="2">
                  <c:v>0.21927528904395344</c:v>
                </c:pt>
                <c:pt idx="3">
                  <c:v>9.2207867218916689E-2</c:v>
                </c:pt>
                <c:pt idx="4">
                  <c:v>7.2463896710942652E-2</c:v>
                </c:pt>
                <c:pt idx="5">
                  <c:v>3.7514272225328722E-2</c:v>
                </c:pt>
                <c:pt idx="6">
                  <c:v>0</c:v>
                </c:pt>
                <c:pt idx="7">
                  <c:v>1.5886116849764112E-2</c:v>
                </c:pt>
                <c:pt idx="8">
                  <c:v>3.4933971077188881E-2</c:v>
                </c:pt>
                <c:pt idx="9">
                  <c:v>1.8260998402850091E-2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0-4444-8825-A2A61B6E6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595936"/>
        <c:axId val="398591624"/>
      </c:barChart>
      <c:lineChart>
        <c:grouping val="standard"/>
        <c:varyColors val="0"/>
        <c:ser>
          <c:idx val="2"/>
          <c:order val="2"/>
          <c:tx>
            <c:strRef>
              <c:f>Data!$T$21</c:f>
              <c:strCache>
                <c:ptCount val="1"/>
                <c:pt idx="0">
                  <c:v>% Change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Data!$N$22:$N$31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Madison Finance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Data!$T$22:$T$31</c:f>
              <c:numCache>
                <c:formatCode>0.0%</c:formatCode>
                <c:ptCount val="10"/>
                <c:pt idx="0">
                  <c:v>-8.5386012160805543E-3</c:v>
                </c:pt>
                <c:pt idx="1">
                  <c:v>-5.7393191642890924E-2</c:v>
                </c:pt>
                <c:pt idx="2">
                  <c:v>4.5482466060259568E-4</c:v>
                </c:pt>
                <c:pt idx="3">
                  <c:v>9.8381239571074766E-2</c:v>
                </c:pt>
                <c:pt idx="4">
                  <c:v>5.4378268995893361E-2</c:v>
                </c:pt>
                <c:pt idx="5">
                  <c:v>5.526378292724294E-2</c:v>
                </c:pt>
                <c:pt idx="6">
                  <c:v>0</c:v>
                </c:pt>
                <c:pt idx="7">
                  <c:v>-0.14615032687240898</c:v>
                </c:pt>
                <c:pt idx="8">
                  <c:v>1.2932797648110776E-2</c:v>
                </c:pt>
                <c:pt idx="9">
                  <c:v>2.3345373385414307E-2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0-4444-8825-A2A61B6E6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590448"/>
        <c:axId val="398596328"/>
      </c:lineChart>
      <c:catAx>
        <c:axId val="39859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1624"/>
        <c:crosses val="autoZero"/>
        <c:auto val="1"/>
        <c:lblAlgn val="ctr"/>
        <c:lblOffset val="100"/>
        <c:noMultiLvlLbl val="0"/>
      </c:catAx>
      <c:valAx>
        <c:axId val="39859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5936"/>
        <c:crosses val="autoZero"/>
        <c:crossBetween val="between"/>
      </c:valAx>
      <c:valAx>
        <c:axId val="3985963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0448"/>
        <c:crosses val="max"/>
        <c:crossBetween val="between"/>
      </c:valAx>
      <c:catAx>
        <c:axId val="3985904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859632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Tier 1 vs Tier 2 vs Total Qualifying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Data!$B$82</c:f>
              <c:strCache>
                <c:ptCount val="1"/>
                <c:pt idx="0">
                  <c:v>Tier 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Data!$A$83:$A$92</c:f>
              <c:strCache>
                <c:ptCount val="10"/>
                <c:pt idx="0">
                  <c:v>Bayport</c:v>
                </c:pt>
                <c:pt idx="1">
                  <c:v>EFC</c:v>
                </c:pt>
                <c:pt idx="2">
                  <c:v>Finca</c:v>
                </c:pt>
                <c:pt idx="3">
                  <c:v>LOLC Finance</c:v>
                </c:pt>
                <c:pt idx="4">
                  <c:v>Madison Finance</c:v>
                </c:pt>
                <c:pt idx="5">
                  <c:v>Microfinance</c:v>
                </c:pt>
                <c:pt idx="6">
                  <c:v>MyBucks</c:v>
                </c:pt>
                <c:pt idx="7">
                  <c:v>Natsave</c:v>
                </c:pt>
                <c:pt idx="8">
                  <c:v>Vision Fund</c:v>
                </c:pt>
                <c:pt idx="9">
                  <c:v>ZNBS</c:v>
                </c:pt>
              </c:strCache>
            </c:strRef>
          </c:cat>
          <c:val>
            <c:numRef>
              <c:f>Data!$B$83:$B$92</c:f>
              <c:numCache>
                <c:formatCode>_-* #,##0_-;\-* #,##0_-;_-* "-"??_-;_-@_-</c:formatCode>
                <c:ptCount val="10"/>
                <c:pt idx="0">
                  <c:v>1885524</c:v>
                </c:pt>
                <c:pt idx="1">
                  <c:v>199919</c:v>
                </c:pt>
                <c:pt idx="2">
                  <c:v>44157</c:v>
                </c:pt>
                <c:pt idx="3">
                  <c:v>261367</c:v>
                </c:pt>
                <c:pt idx="4">
                  <c:v>89619</c:v>
                </c:pt>
                <c:pt idx="5">
                  <c:v>580152</c:v>
                </c:pt>
                <c:pt idx="6" formatCode="_(* #,##0_);_(* \(#,##0\);_(* &quot;-&quot;??_);_(@_)">
                  <c:v>0</c:v>
                </c:pt>
                <c:pt idx="7" formatCode="_(* #,##0_);_(* \(#,##0\);_(* &quot;-&quot;??_);_(@_)">
                  <c:v>558185</c:v>
                </c:pt>
                <c:pt idx="8">
                  <c:v>114418</c:v>
                </c:pt>
                <c:pt idx="9">
                  <c:v>1331485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8-4AE6-8FD3-C0CF6BE2A807}"/>
            </c:ext>
          </c:extLst>
        </c:ser>
        <c:ser>
          <c:idx val="1"/>
          <c:order val="1"/>
          <c:tx>
            <c:strRef>
              <c:f>Data!$C$82</c:f>
              <c:strCache>
                <c:ptCount val="1"/>
                <c:pt idx="0">
                  <c:v>Tier 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Data!$A$83:$A$92</c:f>
              <c:strCache>
                <c:ptCount val="10"/>
                <c:pt idx="0">
                  <c:v>Bayport</c:v>
                </c:pt>
                <c:pt idx="1">
                  <c:v>EFC</c:v>
                </c:pt>
                <c:pt idx="2">
                  <c:v>Finca</c:v>
                </c:pt>
                <c:pt idx="3">
                  <c:v>LOLC Finance</c:v>
                </c:pt>
                <c:pt idx="4">
                  <c:v>Madison Finance</c:v>
                </c:pt>
                <c:pt idx="5">
                  <c:v>Microfinance</c:v>
                </c:pt>
                <c:pt idx="6">
                  <c:v>MyBucks</c:v>
                </c:pt>
                <c:pt idx="7">
                  <c:v>Natsave</c:v>
                </c:pt>
                <c:pt idx="8">
                  <c:v>Vision Fund</c:v>
                </c:pt>
                <c:pt idx="9">
                  <c:v>ZNBS</c:v>
                </c:pt>
              </c:strCache>
            </c:strRef>
          </c:cat>
          <c:val>
            <c:numRef>
              <c:f>Data!$C$83:$C$92</c:f>
              <c:numCache>
                <c:formatCode>_-* #,##0_-;\-* #,##0_-;_-*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4466</c:v>
                </c:pt>
                <c:pt idx="8">
                  <c:v>0</c:v>
                </c:pt>
                <c:pt idx="9">
                  <c:v>26895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48-4AE6-8FD3-C0CF6BE2A807}"/>
            </c:ext>
          </c:extLst>
        </c:ser>
        <c:ser>
          <c:idx val="2"/>
          <c:order val="2"/>
          <c:tx>
            <c:strRef>
              <c:f>Data!$D$82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Data!$A$83:$A$92</c:f>
              <c:strCache>
                <c:ptCount val="10"/>
                <c:pt idx="0">
                  <c:v>Bayport</c:v>
                </c:pt>
                <c:pt idx="1">
                  <c:v>EFC</c:v>
                </c:pt>
                <c:pt idx="2">
                  <c:v>Finca</c:v>
                </c:pt>
                <c:pt idx="3">
                  <c:v>LOLC Finance</c:v>
                </c:pt>
                <c:pt idx="4">
                  <c:v>Madison Finance</c:v>
                </c:pt>
                <c:pt idx="5">
                  <c:v>Microfinance</c:v>
                </c:pt>
                <c:pt idx="6">
                  <c:v>MyBucks</c:v>
                </c:pt>
                <c:pt idx="7">
                  <c:v>Natsave</c:v>
                </c:pt>
                <c:pt idx="8">
                  <c:v>Vision Fund</c:v>
                </c:pt>
                <c:pt idx="9">
                  <c:v>ZNBS</c:v>
                </c:pt>
              </c:strCache>
            </c:strRef>
          </c:cat>
          <c:val>
            <c:numRef>
              <c:f>Data!$D$83:$D$92</c:f>
              <c:numCache>
                <c:formatCode>_-* #,##0_-;\-* #,##0_-;_-* "-"??_-;_-@_-</c:formatCode>
                <c:ptCount val="10"/>
                <c:pt idx="0">
                  <c:v>1885524</c:v>
                </c:pt>
                <c:pt idx="1">
                  <c:v>199919</c:v>
                </c:pt>
                <c:pt idx="2">
                  <c:v>44157</c:v>
                </c:pt>
                <c:pt idx="3">
                  <c:v>261367</c:v>
                </c:pt>
                <c:pt idx="4">
                  <c:v>89619</c:v>
                </c:pt>
                <c:pt idx="5">
                  <c:v>580152</c:v>
                </c:pt>
                <c:pt idx="6" formatCode="_(* #,##0_);_(* \(#,##0\);_(* &quot;-&quot;??_);_(@_)">
                  <c:v>0</c:v>
                </c:pt>
                <c:pt idx="7" formatCode="_(* #,##0_);_(* \(#,##0\);_(* &quot;-&quot;??_);_(@_)">
                  <c:v>562651</c:v>
                </c:pt>
                <c:pt idx="8">
                  <c:v>114418</c:v>
                </c:pt>
                <c:pt idx="9">
                  <c:v>1358380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8-4AE6-8FD3-C0CF6BE2A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592016"/>
        <c:axId val="398596720"/>
      </c:barChart>
      <c:catAx>
        <c:axId val="39859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6720"/>
        <c:crosses val="autoZero"/>
        <c:auto val="1"/>
        <c:lblAlgn val="ctr"/>
        <c:lblOffset val="100"/>
        <c:noMultiLvlLbl val="0"/>
      </c:catAx>
      <c:valAx>
        <c:axId val="39859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2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2025 Capital Surplus (Deficit)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Data!$G$82</c:f>
              <c:strCache>
                <c:ptCount val="1"/>
                <c:pt idx="0">
                  <c:v>Capital Surplus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Data!$F$83:$F$92</c:f>
              <c:strCache>
                <c:ptCount val="10"/>
                <c:pt idx="0">
                  <c:v>Bayport</c:v>
                </c:pt>
                <c:pt idx="1">
                  <c:v>MyBucks</c:v>
                </c:pt>
                <c:pt idx="2">
                  <c:v>LOLC Finance</c:v>
                </c:pt>
                <c:pt idx="3">
                  <c:v>Finca</c:v>
                </c:pt>
                <c:pt idx="4">
                  <c:v>Madison Finance</c:v>
                </c:pt>
                <c:pt idx="5">
                  <c:v>Microfinance</c:v>
                </c:pt>
                <c:pt idx="6">
                  <c:v>EFC</c:v>
                </c:pt>
                <c:pt idx="7">
                  <c:v>Natsave</c:v>
                </c:pt>
                <c:pt idx="8">
                  <c:v>Vision Fund</c:v>
                </c:pt>
                <c:pt idx="9">
                  <c:v>ZNBS</c:v>
                </c:pt>
              </c:strCache>
            </c:strRef>
          </c:cat>
          <c:val>
            <c:numRef>
              <c:f>Data!$G$83:$G$92</c:f>
              <c:numCache>
                <c:formatCode>_(* #,##0_);_(* \(#,##0\);_(* "-"??_);_(@_)</c:formatCode>
                <c:ptCount val="10"/>
                <c:pt idx="0" formatCode="_-* #,##0_-;\-* #,##0_-;_-* &quot;-&quot;??_-;_-@_-">
                  <c:v>1030946.25</c:v>
                </c:pt>
                <c:pt idx="1">
                  <c:v>-2500</c:v>
                </c:pt>
                <c:pt idx="2" formatCode="_-* #,##0_-;\-* #,##0_-;_-* &quot;-&quot;??_-;_-@_-">
                  <c:v>127764.1</c:v>
                </c:pt>
                <c:pt idx="3" formatCode="_-* #,##0_-;\-* #,##0_-;_-* &quot;-&quot;??_-;_-@_-">
                  <c:v>-15842.099999999999</c:v>
                </c:pt>
                <c:pt idx="4">
                  <c:v>54487.200000000004</c:v>
                </c:pt>
                <c:pt idx="5" formatCode="_-* #,##0_-;\-* #,##0_-;_-* &quot;-&quot;??_-;_-@_-">
                  <c:v>295526.55</c:v>
                </c:pt>
                <c:pt idx="6" formatCode="_-* #,##0_-;\-* #,##0_-;_-* &quot;-&quot;??_-;_-@_-">
                  <c:v>135423.35</c:v>
                </c:pt>
                <c:pt idx="7">
                  <c:v>313454.59999999998</c:v>
                </c:pt>
                <c:pt idx="8" formatCode="_-* #,##0_-;\-* #,##0_-;_-* &quot;-&quot;??_-;_-@_-">
                  <c:v>12354.400000000009</c:v>
                </c:pt>
                <c:pt idx="9" formatCode="_-* #,##0_-;\-* #,##0_-;_-* &quot;-&quot;??_-;_-@_-">
                  <c:v>1020298.1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3-4E60-AE10-41C73102D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592800"/>
        <c:axId val="398593192"/>
      </c:barChart>
      <c:catAx>
        <c:axId val="39859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3192"/>
        <c:crosses val="autoZero"/>
        <c:auto val="1"/>
        <c:lblAlgn val="ctr"/>
        <c:lblOffset val="100"/>
        <c:noMultiLvlLbl val="0"/>
      </c:catAx>
      <c:valAx>
        <c:axId val="398593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5928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Data!$J$82</c:f>
              <c:strCache>
                <c:ptCount val="1"/>
                <c:pt idx="0">
                  <c:v>CAR%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Data!$I$83:$I$92</c:f>
              <c:strCache>
                <c:ptCount val="10"/>
                <c:pt idx="0">
                  <c:v>Bayport</c:v>
                </c:pt>
                <c:pt idx="1">
                  <c:v>Finca</c:v>
                </c:pt>
                <c:pt idx="2">
                  <c:v>Microfinance</c:v>
                </c:pt>
                <c:pt idx="3">
                  <c:v>MyBucks</c:v>
                </c:pt>
                <c:pt idx="4">
                  <c:v>LOLC Finance</c:v>
                </c:pt>
                <c:pt idx="5">
                  <c:v>Vision Fund</c:v>
                </c:pt>
                <c:pt idx="6">
                  <c:v>EFC</c:v>
                </c:pt>
                <c:pt idx="7">
                  <c:v>Natsave</c:v>
                </c:pt>
                <c:pt idx="8">
                  <c:v>Madison Finance</c:v>
                </c:pt>
                <c:pt idx="9">
                  <c:v>ZNBS</c:v>
                </c:pt>
              </c:strCache>
            </c:strRef>
          </c:cat>
          <c:val>
            <c:numRef>
              <c:f>Data!$J$83:$J$92</c:f>
              <c:numCache>
                <c:formatCode>0.00%</c:formatCode>
                <c:ptCount val="10"/>
                <c:pt idx="0">
                  <c:v>0.33095713058291071</c:v>
                </c:pt>
                <c:pt idx="1">
                  <c:v>0.11039415591233868</c:v>
                </c:pt>
                <c:pt idx="2">
                  <c:v>0.3057449711541958</c:v>
                </c:pt>
                <c:pt idx="3">
                  <c:v>0</c:v>
                </c:pt>
                <c:pt idx="4">
                  <c:v>0.29344460337313039</c:v>
                </c:pt>
                <c:pt idx="5">
                  <c:v>0.16815691392425899</c:v>
                </c:pt>
                <c:pt idx="6">
                  <c:v>0.4649592646945957</c:v>
                </c:pt>
                <c:pt idx="7">
                  <c:v>0.22578616705538282</c:v>
                </c:pt>
                <c:pt idx="8">
                  <c:v>0.38264051372261026</c:v>
                </c:pt>
                <c:pt idx="9">
                  <c:v>0.40179021710419871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F-43D3-AD42-94214B4C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151480"/>
        <c:axId val="398957872"/>
      </c:barChart>
      <c:catAx>
        <c:axId val="39815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7872"/>
        <c:crosses val="autoZero"/>
        <c:auto val="1"/>
        <c:lblAlgn val="ctr"/>
        <c:lblOffset val="100"/>
        <c:noMultiLvlLbl val="0"/>
      </c:catAx>
      <c:valAx>
        <c:axId val="39895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1514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Data!$M$82</c:f>
              <c:strCache>
                <c:ptCount val="1"/>
                <c:pt idx="0">
                  <c:v>ROE 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Data!$L$83:$L$92</c:f>
              <c:strCache>
                <c:ptCount val="10"/>
                <c:pt idx="0">
                  <c:v>Microfinance</c:v>
                </c:pt>
                <c:pt idx="1">
                  <c:v>EFC</c:v>
                </c:pt>
                <c:pt idx="2">
                  <c:v>LOLC Finance</c:v>
                </c:pt>
                <c:pt idx="3">
                  <c:v>Bayport</c:v>
                </c:pt>
                <c:pt idx="4">
                  <c:v>ZNBS</c:v>
                </c:pt>
                <c:pt idx="5">
                  <c:v>MyBucks</c:v>
                </c:pt>
                <c:pt idx="6">
                  <c:v>Madison Finance</c:v>
                </c:pt>
                <c:pt idx="7">
                  <c:v>Natsave</c:v>
                </c:pt>
                <c:pt idx="8">
                  <c:v>Vision Fund</c:v>
                </c:pt>
                <c:pt idx="9">
                  <c:v>Finca</c:v>
                </c:pt>
              </c:strCache>
            </c:strRef>
          </c:cat>
          <c:val>
            <c:numRef>
              <c:f>Data!$M$83:$M$92</c:f>
              <c:numCache>
                <c:formatCode>0.00%</c:formatCode>
                <c:ptCount val="10"/>
                <c:pt idx="0">
                  <c:v>0.24138243711853172</c:v>
                </c:pt>
                <c:pt idx="1">
                  <c:v>0.24347110620017459</c:v>
                </c:pt>
                <c:pt idx="2">
                  <c:v>0.432639698723641</c:v>
                </c:pt>
                <c:pt idx="3">
                  <c:v>0.19773520784529747</c:v>
                </c:pt>
                <c:pt idx="4">
                  <c:v>9.9260513070420664E-2</c:v>
                </c:pt>
                <c:pt idx="5">
                  <c:v>0</c:v>
                </c:pt>
                <c:pt idx="6">
                  <c:v>208.36403033586132</c:v>
                </c:pt>
                <c:pt idx="7">
                  <c:v>0.53650565055013111</c:v>
                </c:pt>
                <c:pt idx="8">
                  <c:v>0.3843216988591438</c:v>
                </c:pt>
                <c:pt idx="9">
                  <c:v>-6.4966465889187919E-2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1-4604-8DC3-9F58CDE3A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54344"/>
        <c:axId val="398954736"/>
      </c:barChart>
      <c:catAx>
        <c:axId val="398954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4736"/>
        <c:crosses val="autoZero"/>
        <c:auto val="1"/>
        <c:lblAlgn val="ctr"/>
        <c:lblOffset val="100"/>
        <c:noMultiLvlLbl val="0"/>
      </c:catAx>
      <c:valAx>
        <c:axId val="39895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4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 sz="1800" b="1" i="0" baseline="0">
                <a:effectLst/>
              </a:rPr>
              <a:t>2026 Composite interest rate on deposits % 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Data!$G$98</c:f>
              <c:strCache>
                <c:ptCount val="1"/>
                <c:pt idx="0">
                  <c:v>Deposits/Money Market Instr.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Data!$E$99:$E$108</c:f>
              <c:strCache>
                <c:ptCount val="10"/>
                <c:pt idx="0">
                  <c:v>ZNBS</c:v>
                </c:pt>
                <c:pt idx="1">
                  <c:v>Natsave</c:v>
                </c:pt>
                <c:pt idx="2">
                  <c:v>Microfinance</c:v>
                </c:pt>
                <c:pt idx="3">
                  <c:v>Bayport</c:v>
                </c:pt>
                <c:pt idx="4">
                  <c:v>LOLC Finance</c:v>
                </c:pt>
                <c:pt idx="5">
                  <c:v>MyBucks</c:v>
                </c:pt>
                <c:pt idx="6">
                  <c:v>EFC</c:v>
                </c:pt>
                <c:pt idx="7">
                  <c:v>Madison Finance</c:v>
                </c:pt>
                <c:pt idx="8">
                  <c:v>Finca</c:v>
                </c:pt>
                <c:pt idx="9">
                  <c:v>Vision Fund</c:v>
                </c:pt>
              </c:strCache>
            </c:strRef>
          </c:cat>
          <c:val>
            <c:numRef>
              <c:f>Data!$G$99:$G$108</c:f>
              <c:numCache>
                <c:formatCode>_-* #,##0_-;\-* #,##0_-;_-* "-"??_-;_-@_-</c:formatCode>
                <c:ptCount val="10"/>
                <c:pt idx="0">
                  <c:v>2150472</c:v>
                </c:pt>
                <c:pt idx="1">
                  <c:v>2588866</c:v>
                </c:pt>
                <c:pt idx="2">
                  <c:v>933664</c:v>
                </c:pt>
                <c:pt idx="3">
                  <c:v>840056</c:v>
                </c:pt>
                <c:pt idx="4">
                  <c:v>971498</c:v>
                </c:pt>
                <c:pt idx="5">
                  <c:v>0</c:v>
                </c:pt>
                <c:pt idx="6">
                  <c:v>217601</c:v>
                </c:pt>
                <c:pt idx="7">
                  <c:v>239020</c:v>
                </c:pt>
                <c:pt idx="8">
                  <c:v>235230</c:v>
                </c:pt>
                <c:pt idx="9">
                  <c:v>52519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5-4672-96B3-DE7C08363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57480"/>
        <c:axId val="398953560"/>
      </c:barChart>
      <c:lineChart>
        <c:grouping val="standard"/>
        <c:varyColors val="0"/>
        <c:ser>
          <c:idx val="0"/>
          <c:order val="0"/>
          <c:tx>
            <c:strRef>
              <c:f>Data!$F$98</c:f>
              <c:strCache>
                <c:ptCount val="1"/>
                <c:pt idx="0">
                  <c:v>Comp. Interest Rate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Data!$E$99:$E$108</c:f>
              <c:strCache>
                <c:ptCount val="10"/>
                <c:pt idx="0">
                  <c:v>ZNBS</c:v>
                </c:pt>
                <c:pt idx="1">
                  <c:v>Natsave</c:v>
                </c:pt>
                <c:pt idx="2">
                  <c:v>Microfinance</c:v>
                </c:pt>
                <c:pt idx="3">
                  <c:v>Bayport</c:v>
                </c:pt>
                <c:pt idx="4">
                  <c:v>LOLC Finance</c:v>
                </c:pt>
                <c:pt idx="5">
                  <c:v>MyBucks</c:v>
                </c:pt>
                <c:pt idx="6">
                  <c:v>EFC</c:v>
                </c:pt>
                <c:pt idx="7">
                  <c:v>Madison Finance</c:v>
                </c:pt>
                <c:pt idx="8">
                  <c:v>Finca</c:v>
                </c:pt>
                <c:pt idx="9">
                  <c:v>Vision Fund</c:v>
                </c:pt>
              </c:strCache>
            </c:strRef>
          </c:cat>
          <c:val>
            <c:numRef>
              <c:f>Data!$F$99:$F$108</c:f>
              <c:numCache>
                <c:formatCode>0.00%</c:formatCode>
                <c:ptCount val="10"/>
                <c:pt idx="0">
                  <c:v>0.10308477854364619</c:v>
                </c:pt>
                <c:pt idx="1">
                  <c:v>9.2180054109074025E-2</c:v>
                </c:pt>
                <c:pt idx="2">
                  <c:v>0.20810757006103145</c:v>
                </c:pt>
                <c:pt idx="3">
                  <c:v>0.17016887903442873</c:v>
                </c:pt>
                <c:pt idx="4">
                  <c:v>0.17041989932703744</c:v>
                </c:pt>
                <c:pt idx="5">
                  <c:v>0</c:v>
                </c:pt>
                <c:pt idx="6">
                  <c:v>0.13853536407260589</c:v>
                </c:pt>
                <c:pt idx="7">
                  <c:v>0.16555254400728178</c:v>
                </c:pt>
                <c:pt idx="8">
                  <c:v>0.18054437757439787</c:v>
                </c:pt>
                <c:pt idx="9">
                  <c:v>0.2377019968026719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1-43E8-9D67-638C5D428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953168"/>
        <c:axId val="398953952"/>
      </c:lineChart>
      <c:catAx>
        <c:axId val="39895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3560"/>
        <c:crosses val="autoZero"/>
        <c:auto val="1"/>
        <c:lblAlgn val="ctr"/>
        <c:lblOffset val="100"/>
        <c:noMultiLvlLbl val="0"/>
      </c:catAx>
      <c:valAx>
        <c:axId val="39895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7480"/>
        <c:crosses val="autoZero"/>
        <c:crossBetween val="between"/>
      </c:valAx>
      <c:valAx>
        <c:axId val="398953952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3168"/>
        <c:crosses val="max"/>
        <c:crossBetween val="between"/>
      </c:valAx>
      <c:catAx>
        <c:axId val="39895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895395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1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2026 Composite interest rate rate on loans and advances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Data!$C$98</c:f>
              <c:strCache>
                <c:ptCount val="1"/>
                <c:pt idx="0">
                  <c:v>Loans &amp; Advances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Data!$A$99:$A$108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Vision Fund</c:v>
                </c:pt>
                <c:pt idx="8">
                  <c:v>Madison Finance</c:v>
                </c:pt>
                <c:pt idx="9">
                  <c:v>Finca</c:v>
                </c:pt>
              </c:strCache>
            </c:strRef>
          </c:cat>
          <c:val>
            <c:numRef>
              <c:f>Data!$C$99:$C$108</c:f>
              <c:numCache>
                <c:formatCode>_-* #,##0_-;\-* #,##0_-;_-*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98-4BA5-B2C0-7ABC3D2D9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56696"/>
        <c:axId val="398958264"/>
      </c:barChart>
      <c:lineChart>
        <c:grouping val="standard"/>
        <c:varyColors val="0"/>
        <c:ser>
          <c:idx val="0"/>
          <c:order val="0"/>
          <c:tx>
            <c:strRef>
              <c:f>Data!$B$98</c:f>
              <c:strCache>
                <c:ptCount val="1"/>
                <c:pt idx="0">
                  <c:v>Comp. Interest Rate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Data!$A$99:$A$108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Vision Fund</c:v>
                </c:pt>
                <c:pt idx="8">
                  <c:v>Madison Finance</c:v>
                </c:pt>
                <c:pt idx="9">
                  <c:v>Finca</c:v>
                </c:pt>
              </c:strCache>
            </c:strRef>
          </c:cat>
          <c:val>
            <c:numRef>
              <c:f>Data!$B$99:$B$108</c:f>
              <c:numCache>
                <c:formatCode>0.00%</c:formatCode>
                <c:ptCount val="10"/>
                <c:pt idx="0">
                  <c:v>0.32418461659328879</c:v>
                </c:pt>
                <c:pt idx="1">
                  <c:v>0.34261804516510663</c:v>
                </c:pt>
                <c:pt idx="2">
                  <c:v>0.26465801734742594</c:v>
                </c:pt>
                <c:pt idx="3">
                  <c:v>0.36546802878380025</c:v>
                </c:pt>
                <c:pt idx="4">
                  <c:v>0.28006395998425937</c:v>
                </c:pt>
                <c:pt idx="5">
                  <c:v>0.49818875410086211</c:v>
                </c:pt>
                <c:pt idx="6">
                  <c:v>0</c:v>
                </c:pt>
                <c:pt idx="7">
                  <c:v>0.63671176084157866</c:v>
                </c:pt>
                <c:pt idx="8">
                  <c:v>0.36746706012073327</c:v>
                </c:pt>
                <c:pt idx="9">
                  <c:v>0.76125031512577745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B-46A1-8521-60B8692D3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959440"/>
        <c:axId val="398959048"/>
      </c:lineChart>
      <c:catAx>
        <c:axId val="39895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8264"/>
        <c:crosses val="autoZero"/>
        <c:auto val="1"/>
        <c:lblAlgn val="ctr"/>
        <c:lblOffset val="100"/>
        <c:noMultiLvlLbl val="0"/>
      </c:catAx>
      <c:valAx>
        <c:axId val="398958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6696"/>
        <c:crosses val="autoZero"/>
        <c:crossBetween val="between"/>
      </c:valAx>
      <c:valAx>
        <c:axId val="39895904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59440"/>
        <c:crosses val="max"/>
        <c:crossBetween val="between"/>
      </c:valAx>
      <c:catAx>
        <c:axId val="398959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895904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Net Interest Margin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Data!$J$98</c:f>
              <c:strCache>
                <c:ptCount val="1"/>
                <c:pt idx="0">
                  <c:v>NIM 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Data!$I$99:$I$108</c:f>
              <c:strCache>
                <c:ptCount val="10"/>
                <c:pt idx="0">
                  <c:v>Finca</c:v>
                </c:pt>
                <c:pt idx="1">
                  <c:v>EFC</c:v>
                </c:pt>
                <c:pt idx="2">
                  <c:v>MyBucks</c:v>
                </c:pt>
                <c:pt idx="3">
                  <c:v>Vision Fund</c:v>
                </c:pt>
                <c:pt idx="4">
                  <c:v>Bayport</c:v>
                </c:pt>
                <c:pt idx="5">
                  <c:v>Microfinance</c:v>
                </c:pt>
                <c:pt idx="6">
                  <c:v>ZNBS</c:v>
                </c:pt>
                <c:pt idx="7">
                  <c:v>Natsave</c:v>
                </c:pt>
                <c:pt idx="8">
                  <c:v>Madison Finance</c:v>
                </c:pt>
                <c:pt idx="9">
                  <c:v>LOLC Finance</c:v>
                </c:pt>
              </c:strCache>
            </c:strRef>
          </c:cat>
          <c:val>
            <c:numRef>
              <c:f>Data!$J$99:$J$108</c:f>
              <c:numCache>
                <c:formatCode>0.00%</c:formatCode>
                <c:ptCount val="10"/>
                <c:pt idx="0">
                  <c:v>0.30465235181313827</c:v>
                </c:pt>
                <c:pt idx="1">
                  <c:v>0.22430169410848352</c:v>
                </c:pt>
                <c:pt idx="2">
                  <c:v>0</c:v>
                </c:pt>
                <c:pt idx="3">
                  <c:v>0.3638911342559123</c:v>
                </c:pt>
                <c:pt idx="4">
                  <c:v>0.17757552645439748</c:v>
                </c:pt>
                <c:pt idx="5">
                  <c:v>0.13911250065758668</c:v>
                </c:pt>
                <c:pt idx="6">
                  <c:v>0.1011017886315267</c:v>
                </c:pt>
                <c:pt idx="7">
                  <c:v>0.17895072170780416</c:v>
                </c:pt>
                <c:pt idx="8">
                  <c:v>0.10760894451652293</c:v>
                </c:pt>
                <c:pt idx="9">
                  <c:v>6.1014452461905164E-2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1-4E28-8AD0-038AD6FB8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60616"/>
        <c:axId val="399340216"/>
      </c:barChart>
      <c:catAx>
        <c:axId val="398960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9340216"/>
        <c:crosses val="autoZero"/>
        <c:auto val="1"/>
        <c:lblAlgn val="ctr"/>
        <c:lblOffset val="100"/>
        <c:noMultiLvlLbl val="0"/>
      </c:catAx>
      <c:valAx>
        <c:axId val="399340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89606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Deposits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Data!$F$6</c:f>
              <c:strCache>
                <c:ptCount val="1"/>
                <c:pt idx="0">
                  <c:v>Deposits/Money Market Instruments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Data!$E$7:$E$16</c:f>
              <c:strCache>
                <c:ptCount val="10"/>
                <c:pt idx="0">
                  <c:v>Natsave</c:v>
                </c:pt>
                <c:pt idx="1">
                  <c:v>ZNBS</c:v>
                </c:pt>
                <c:pt idx="2">
                  <c:v>Microfinance</c:v>
                </c:pt>
                <c:pt idx="3">
                  <c:v>Bayport</c:v>
                </c:pt>
                <c:pt idx="4">
                  <c:v>LOLC Finance</c:v>
                </c:pt>
                <c:pt idx="5">
                  <c:v>MyBucks</c:v>
                </c:pt>
                <c:pt idx="6">
                  <c:v>EFC</c:v>
                </c:pt>
                <c:pt idx="7">
                  <c:v>Madison Finance</c:v>
                </c:pt>
                <c:pt idx="8">
                  <c:v>Finca</c:v>
                </c:pt>
                <c:pt idx="9">
                  <c:v>Vision Fund</c:v>
                </c:pt>
              </c:strCache>
            </c:strRef>
          </c:cat>
          <c:val>
            <c:numRef>
              <c:f>Data!$F$7:$F$16</c:f>
              <c:numCache>
                <c:formatCode>_-* #,##0_-;\-* #,##0_-;_-* "-"??_-;_-@_-</c:formatCode>
                <c:ptCount val="10"/>
                <c:pt idx="0">
                  <c:v>2588866</c:v>
                </c:pt>
                <c:pt idx="1">
                  <c:v>2150472</c:v>
                </c:pt>
                <c:pt idx="2">
                  <c:v>933664</c:v>
                </c:pt>
                <c:pt idx="3">
                  <c:v>840056</c:v>
                </c:pt>
                <c:pt idx="4">
                  <c:v>971498</c:v>
                </c:pt>
                <c:pt idx="5">
                  <c:v>0</c:v>
                </c:pt>
                <c:pt idx="6">
                  <c:v>217601</c:v>
                </c:pt>
                <c:pt idx="7">
                  <c:v>239020</c:v>
                </c:pt>
                <c:pt idx="8">
                  <c:v>235230</c:v>
                </c:pt>
                <c:pt idx="9">
                  <c:v>52519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E-4924-9317-DFEBD05F9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004496"/>
        <c:axId val="394004888"/>
      </c:barChart>
      <c:catAx>
        <c:axId val="39400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4004888"/>
        <c:crosses val="autoZero"/>
        <c:auto val="1"/>
        <c:lblAlgn val="ctr"/>
        <c:lblOffset val="100"/>
        <c:noMultiLvlLbl val="0"/>
      </c:catAx>
      <c:valAx>
        <c:axId val="39400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40044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Share of Deposits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Data!$G$6</c:f>
              <c:strCache>
                <c:ptCount val="1"/>
                <c:pt idx="0">
                  <c:v>% Share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Data!$E$7:$E$15</c:f>
              <c:strCache>
                <c:ptCount val="9"/>
                <c:pt idx="0">
                  <c:v>Natsave</c:v>
                </c:pt>
                <c:pt idx="1">
                  <c:v>ZNBS</c:v>
                </c:pt>
                <c:pt idx="2">
                  <c:v>Microfinance</c:v>
                </c:pt>
                <c:pt idx="3">
                  <c:v>Bayport</c:v>
                </c:pt>
                <c:pt idx="4">
                  <c:v>LOLC Finance</c:v>
                </c:pt>
                <c:pt idx="5">
                  <c:v>MyBucks</c:v>
                </c:pt>
                <c:pt idx="6">
                  <c:v>EFC</c:v>
                </c:pt>
                <c:pt idx="7">
                  <c:v>Madison Finance</c:v>
                </c:pt>
                <c:pt idx="8">
                  <c:v>Finca</c:v>
                </c:pt>
              </c:strCache>
            </c:strRef>
          </c:cat>
          <c:val>
            <c:numRef>
              <c:f>Data!$G$7:$G$16</c:f>
              <c:numCache>
                <c:formatCode>0.00%</c:formatCode>
                <c:ptCount val="10"/>
                <c:pt idx="0">
                  <c:v>0.3146055755028056</c:v>
                </c:pt>
                <c:pt idx="1">
                  <c:v>0.26133082251559925</c:v>
                </c:pt>
                <c:pt idx="2">
                  <c:v>0.11346122203553659</c:v>
                </c:pt>
                <c:pt idx="3">
                  <c:v>0.10208573998599574</c:v>
                </c:pt>
                <c:pt idx="4">
                  <c:v>0.11805890586450771</c:v>
                </c:pt>
                <c:pt idx="5">
                  <c:v>0</c:v>
                </c:pt>
                <c:pt idx="6">
                  <c:v>2.6443426517628182E-2</c:v>
                </c:pt>
                <c:pt idx="7">
                  <c:v>2.9046317830540704E-2</c:v>
                </c:pt>
                <c:pt idx="8">
                  <c:v>2.8585747398870764E-2</c:v>
                </c:pt>
                <c:pt idx="9">
                  <c:v>6.3822423485154689E-3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A-43F7-80DE-8B759A4E9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748600"/>
        <c:axId val="396753696"/>
      </c:barChart>
      <c:catAx>
        <c:axId val="396748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53696"/>
        <c:crosses val="autoZero"/>
        <c:auto val="1"/>
        <c:lblAlgn val="ctr"/>
        <c:lblOffset val="100"/>
        <c:noMultiLvlLbl val="0"/>
      </c:catAx>
      <c:valAx>
        <c:axId val="39675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486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Total Assets QonQ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Data!$I$6</c:f>
              <c:strCache>
                <c:ptCount val="1"/>
                <c:pt idx="0">
                  <c:v>Assets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Data!$H$7:$H$16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LOLC Finance</c:v>
                </c:pt>
                <c:pt idx="6">
                  <c:v>MyBucks</c:v>
                </c:pt>
                <c:pt idx="7">
                  <c:v>Vision Fund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Data!$I$7:$I$16</c:f>
              <c:numCache>
                <c:formatCode>_-* #,##0_-;\-* #,##0_-;_-* "-"??_-;_-@_-</c:formatCode>
                <c:ptCount val="10"/>
                <c:pt idx="0">
                  <c:v>4736183</c:v>
                </c:pt>
                <c:pt idx="1">
                  <c:v>3737255</c:v>
                </c:pt>
                <c:pt idx="2">
                  <c:v>4722376</c:v>
                </c:pt>
                <c:pt idx="3">
                  <c:v>1799369</c:v>
                </c:pt>
                <c:pt idx="4">
                  <c:v>844730</c:v>
                </c:pt>
                <c:pt idx="5">
                  <c:v>1372545</c:v>
                </c:pt>
                <c:pt idx="6">
                  <c:v>0</c:v>
                </c:pt>
                <c:pt idx="7">
                  <c:v>552881</c:v>
                </c:pt>
                <c:pt idx="8">
                  <c:v>369974</c:v>
                </c:pt>
                <c:pt idx="9">
                  <c:v>246321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D-43C9-820C-4C50D6E9182D}"/>
            </c:ext>
          </c:extLst>
        </c:ser>
        <c:ser>
          <c:idx val="1"/>
          <c:order val="1"/>
          <c:tx>
            <c:strRef>
              <c:f>Data!$J$6</c:f>
              <c:strCache>
                <c:ptCount val="1"/>
                <c:pt idx="0">
                  <c:v>Assets 2026 Q1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Data!$H$7:$H$16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LOLC Finance</c:v>
                </c:pt>
                <c:pt idx="6">
                  <c:v>MyBucks</c:v>
                </c:pt>
                <c:pt idx="7">
                  <c:v>Vision Fund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Data!$J$7:$J$16</c:f>
              <c:numCache>
                <c:formatCode>_-* #,##0_-;\-* #,##0_-;_-* "-"??_-;_-@_-</c:formatCode>
                <c:ptCount val="10"/>
                <c:pt idx="0">
                  <c:v>4462894</c:v>
                </c:pt>
                <c:pt idx="1">
                  <c:v>3850610</c:v>
                </c:pt>
                <c:pt idx="2">
                  <c:v>4324756</c:v>
                </c:pt>
                <c:pt idx="3">
                  <c:v>1781300</c:v>
                </c:pt>
                <c:pt idx="4">
                  <c:v>856920</c:v>
                </c:pt>
                <c:pt idx="5">
                  <c:v>1327668</c:v>
                </c:pt>
                <c:pt idx="6">
                  <c:v>0</c:v>
                </c:pt>
                <c:pt idx="7">
                  <c:v>539995</c:v>
                </c:pt>
                <c:pt idx="8">
                  <c:v>346486</c:v>
                </c:pt>
                <c:pt idx="9">
                  <c:v>259986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D-43C9-820C-4C50D6E91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747816"/>
        <c:axId val="396748992"/>
      </c:barChart>
      <c:lineChart>
        <c:grouping val="standard"/>
        <c:varyColors val="0"/>
        <c:ser>
          <c:idx val="2"/>
          <c:order val="2"/>
          <c:tx>
            <c:strRef>
              <c:f>Data!$K$6</c:f>
              <c:strCache>
                <c:ptCount val="1"/>
                <c:pt idx="0">
                  <c:v>% Change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Data!$H$7:$H$16</c:f>
              <c:strCache>
                <c:ptCount val="10"/>
                <c:pt idx="0">
                  <c:v>Bayport</c:v>
                </c:pt>
                <c:pt idx="1">
                  <c:v>Natsave</c:v>
                </c:pt>
                <c:pt idx="2">
                  <c:v>ZNBS</c:v>
                </c:pt>
                <c:pt idx="3">
                  <c:v>Microfinance</c:v>
                </c:pt>
                <c:pt idx="4">
                  <c:v>EFC</c:v>
                </c:pt>
                <c:pt idx="5">
                  <c:v>LOLC Finance</c:v>
                </c:pt>
                <c:pt idx="6">
                  <c:v>MyBucks</c:v>
                </c:pt>
                <c:pt idx="7">
                  <c:v>Vision Fund</c:v>
                </c:pt>
                <c:pt idx="8">
                  <c:v>Finca</c:v>
                </c:pt>
                <c:pt idx="9">
                  <c:v>Madison Finance</c:v>
                </c:pt>
              </c:strCache>
            </c:strRef>
          </c:cat>
          <c:val>
            <c:numRef>
              <c:f>Data!$K$7:$K$16</c:f>
              <c:numCache>
                <c:formatCode>0.0%</c:formatCode>
                <c:ptCount val="10"/>
                <c:pt idx="0">
                  <c:v>6.1235825901309777E-2</c:v>
                </c:pt>
                <c:pt idx="1">
                  <c:v>-2.9438192909694828E-2</c:v>
                </c:pt>
                <c:pt idx="2">
                  <c:v>9.1940447044873752E-2</c:v>
                </c:pt>
                <c:pt idx="3">
                  <c:v>1.0143715264132937E-2</c:v>
                </c:pt>
                <c:pt idx="4">
                  <c:v>-1.4225365261634692E-2</c:v>
                </c:pt>
                <c:pt idx="5">
                  <c:v>3.3801372029754424E-2</c:v>
                </c:pt>
                <c:pt idx="6">
                  <c:v>0</c:v>
                </c:pt>
                <c:pt idx="7">
                  <c:v>2.3863183918369616E-2</c:v>
                </c:pt>
                <c:pt idx="8">
                  <c:v>6.7789174742991065E-2</c:v>
                </c:pt>
                <c:pt idx="9">
                  <c:v>-5.2560522489672523E-2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D-43C9-820C-4C50D6E91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751344"/>
        <c:axId val="396750952"/>
      </c:lineChart>
      <c:catAx>
        <c:axId val="396747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48992"/>
        <c:crosses val="autoZero"/>
        <c:auto val="1"/>
        <c:lblAlgn val="ctr"/>
        <c:lblOffset val="100"/>
        <c:noMultiLvlLbl val="0"/>
      </c:catAx>
      <c:valAx>
        <c:axId val="39674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47816"/>
        <c:crosses val="autoZero"/>
        <c:crossBetween val="between"/>
      </c:valAx>
      <c:valAx>
        <c:axId val="3967509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51344"/>
        <c:crosses val="max"/>
        <c:crossBetween val="between"/>
      </c:valAx>
      <c:catAx>
        <c:axId val="396751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675095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aseline="0"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Deposits/Money Market Instruments Q on 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Data!$M$6</c:f>
              <c:strCache>
                <c:ptCount val="1"/>
                <c:pt idx="0">
                  <c:v>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Data!$L$7:$L$16</c:f>
              <c:strCache>
                <c:ptCount val="10"/>
                <c:pt idx="0">
                  <c:v>Natsave</c:v>
                </c:pt>
                <c:pt idx="1">
                  <c:v>ZNBS</c:v>
                </c:pt>
                <c:pt idx="2">
                  <c:v>Microfinance</c:v>
                </c:pt>
                <c:pt idx="3">
                  <c:v>Bayport</c:v>
                </c:pt>
                <c:pt idx="4">
                  <c:v>LOLC Finance</c:v>
                </c:pt>
                <c:pt idx="5">
                  <c:v>MyBucks</c:v>
                </c:pt>
                <c:pt idx="6">
                  <c:v>EFC</c:v>
                </c:pt>
                <c:pt idx="7">
                  <c:v>Madison Finance</c:v>
                </c:pt>
                <c:pt idx="8">
                  <c:v>Finca</c:v>
                </c:pt>
                <c:pt idx="9">
                  <c:v>Vision Fund</c:v>
                </c:pt>
              </c:strCache>
            </c:strRef>
          </c:cat>
          <c:val>
            <c:numRef>
              <c:f>Data!$M$7:$M$16</c:f>
              <c:numCache>
                <c:formatCode>_-* #,##0_-;\-* #,##0_-;_-* "-"??_-;_-@_-</c:formatCode>
                <c:ptCount val="10"/>
                <c:pt idx="0">
                  <c:v>2588866</c:v>
                </c:pt>
                <c:pt idx="1">
                  <c:v>2150472</c:v>
                </c:pt>
                <c:pt idx="2">
                  <c:v>933664</c:v>
                </c:pt>
                <c:pt idx="3">
                  <c:v>840056</c:v>
                </c:pt>
                <c:pt idx="4">
                  <c:v>971498</c:v>
                </c:pt>
                <c:pt idx="5">
                  <c:v>0</c:v>
                </c:pt>
                <c:pt idx="6">
                  <c:v>217601</c:v>
                </c:pt>
                <c:pt idx="7">
                  <c:v>239020</c:v>
                </c:pt>
                <c:pt idx="8">
                  <c:v>235230</c:v>
                </c:pt>
                <c:pt idx="9">
                  <c:v>52519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5-49FC-B5CD-A5108838D8D6}"/>
            </c:ext>
          </c:extLst>
        </c:ser>
        <c:ser>
          <c:idx val="1"/>
          <c:order val="1"/>
          <c:tx>
            <c:strRef>
              <c:f>Data!$N$6</c:f>
              <c:strCache>
                <c:ptCount val="1"/>
                <c:pt idx="0">
                  <c:v>2026 Q1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Data!$L$7:$L$16</c:f>
              <c:strCache>
                <c:ptCount val="10"/>
                <c:pt idx="0">
                  <c:v>Natsave</c:v>
                </c:pt>
                <c:pt idx="1">
                  <c:v>ZNBS</c:v>
                </c:pt>
                <c:pt idx="2">
                  <c:v>Microfinance</c:v>
                </c:pt>
                <c:pt idx="3">
                  <c:v>Bayport</c:v>
                </c:pt>
                <c:pt idx="4">
                  <c:v>LOLC Finance</c:v>
                </c:pt>
                <c:pt idx="5">
                  <c:v>MyBucks</c:v>
                </c:pt>
                <c:pt idx="6">
                  <c:v>EFC</c:v>
                </c:pt>
                <c:pt idx="7">
                  <c:v>Madison Finance</c:v>
                </c:pt>
                <c:pt idx="8">
                  <c:v>Finca</c:v>
                </c:pt>
                <c:pt idx="9">
                  <c:v>Vision Fund</c:v>
                </c:pt>
              </c:strCache>
            </c:strRef>
          </c:cat>
          <c:val>
            <c:numRef>
              <c:f>Data!$N$7:$N$16</c:f>
              <c:numCache>
                <c:formatCode>_-* #,##0_-;\-* #,##0_-;_-* "-"??_-;_-@_-</c:formatCode>
                <c:ptCount val="10"/>
                <c:pt idx="0">
                  <c:v>2732439</c:v>
                </c:pt>
                <c:pt idx="1">
                  <c:v>2091787</c:v>
                </c:pt>
                <c:pt idx="2">
                  <c:v>950195</c:v>
                </c:pt>
                <c:pt idx="3">
                  <c:v>756395</c:v>
                </c:pt>
                <c:pt idx="4">
                  <c:v>962626</c:v>
                </c:pt>
                <c:pt idx="5">
                  <c:v>0</c:v>
                </c:pt>
                <c:pt idx="6">
                  <c:v>254345</c:v>
                </c:pt>
                <c:pt idx="7">
                  <c:v>223471</c:v>
                </c:pt>
                <c:pt idx="8">
                  <c:v>222761</c:v>
                </c:pt>
                <c:pt idx="9">
                  <c:v>49489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45-49FC-B5CD-A5108838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752128"/>
        <c:axId val="396752912"/>
      </c:barChart>
      <c:lineChart>
        <c:grouping val="standard"/>
        <c:varyColors val="0"/>
        <c:ser>
          <c:idx val="2"/>
          <c:order val="2"/>
          <c:tx>
            <c:strRef>
              <c:f>Data!$O$6</c:f>
              <c:strCache>
                <c:ptCount val="1"/>
                <c:pt idx="0">
                  <c:v>% Change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Data!$L$7:$L$16</c:f>
              <c:strCache>
                <c:ptCount val="10"/>
                <c:pt idx="0">
                  <c:v>Natsave</c:v>
                </c:pt>
                <c:pt idx="1">
                  <c:v>ZNBS</c:v>
                </c:pt>
                <c:pt idx="2">
                  <c:v>Microfinance</c:v>
                </c:pt>
                <c:pt idx="3">
                  <c:v>Bayport</c:v>
                </c:pt>
                <c:pt idx="4">
                  <c:v>LOLC Finance</c:v>
                </c:pt>
                <c:pt idx="5">
                  <c:v>MyBucks</c:v>
                </c:pt>
                <c:pt idx="6">
                  <c:v>EFC</c:v>
                </c:pt>
                <c:pt idx="7">
                  <c:v>Madison Finance</c:v>
                </c:pt>
                <c:pt idx="8">
                  <c:v>Finca</c:v>
                </c:pt>
                <c:pt idx="9">
                  <c:v>Vision Fund</c:v>
                </c:pt>
              </c:strCache>
            </c:strRef>
          </c:cat>
          <c:val>
            <c:numRef>
              <c:f>Data!$O$7:$O$16</c:f>
              <c:numCache>
                <c:formatCode>0.0%</c:formatCode>
                <c:ptCount val="10"/>
                <c:pt idx="0">
                  <c:v>-5.2543899424653213E-2</c:v>
                </c:pt>
                <c:pt idx="1">
                  <c:v>2.8054959706700539E-2</c:v>
                </c:pt>
                <c:pt idx="2">
                  <c:v>-1.7397481569572562E-2</c:v>
                </c:pt>
                <c:pt idx="3">
                  <c:v>0.11060490881087262</c:v>
                </c:pt>
                <c:pt idx="4">
                  <c:v>9.2164558198095624E-3</c:v>
                </c:pt>
                <c:pt idx="5">
                  <c:v>0</c:v>
                </c:pt>
                <c:pt idx="6">
                  <c:v>-0.1444651949124221</c:v>
                </c:pt>
                <c:pt idx="7">
                  <c:v>6.9579498010927596E-2</c:v>
                </c:pt>
                <c:pt idx="8">
                  <c:v>5.5974789123769422E-2</c:v>
                </c:pt>
                <c:pt idx="9">
                  <c:v>6.1225726929216594E-2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5-49FC-B5CD-A5108838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754088"/>
        <c:axId val="396752520"/>
      </c:lineChart>
      <c:catAx>
        <c:axId val="39675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52912"/>
        <c:crosses val="autoZero"/>
        <c:auto val="1"/>
        <c:lblAlgn val="ctr"/>
        <c:lblOffset val="100"/>
        <c:noMultiLvlLbl val="0"/>
      </c:catAx>
      <c:valAx>
        <c:axId val="39675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52128"/>
        <c:crosses val="autoZero"/>
        <c:crossBetween val="between"/>
      </c:valAx>
      <c:valAx>
        <c:axId val="3967525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6754088"/>
        <c:crosses val="max"/>
        <c:crossBetween val="between"/>
      </c:valAx>
      <c:catAx>
        <c:axId val="396754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6752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PAT (Q on Q)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Data!$B$21</c:f>
              <c:strCache>
                <c:ptCount val="1"/>
                <c:pt idx="0">
                  <c:v>PAT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Data!$A$22:$A$31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Microfinance</c:v>
                </c:pt>
                <c:pt idx="3">
                  <c:v>Natsave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Finca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Data!$B$22:$B$31</c:f>
              <c:numCache>
                <c:formatCode>_-* #,##0_-;\-* #,##0_-;_-* "-"??_-;_-@_-</c:formatCode>
                <c:ptCount val="10"/>
                <c:pt idx="0">
                  <c:v>98552</c:v>
                </c:pt>
                <c:pt idx="1">
                  <c:v>32585</c:v>
                </c:pt>
                <c:pt idx="2">
                  <c:v>38112</c:v>
                </c:pt>
                <c:pt idx="3">
                  <c:v>84631</c:v>
                </c:pt>
                <c:pt idx="4">
                  <c:v>27282</c:v>
                </c:pt>
                <c:pt idx="5">
                  <c:v>15707</c:v>
                </c:pt>
                <c:pt idx="6">
                  <c:v>0</c:v>
                </c:pt>
                <c:pt idx="7">
                  <c:v>-3819</c:v>
                </c:pt>
                <c:pt idx="8" formatCode="_(* #,##0_);_(* \(#,##0\);_(* &quot;-&quot;??_);_(@_)">
                  <c:v>11209</c:v>
                </c:pt>
                <c:pt idx="9" formatCode="_(* #,##0_);_(* \(#,##0\);_(* &quot;-&quot;??_);_(@_)">
                  <c:v>-27633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9-4128-B370-4DD9C04A162B}"/>
            </c:ext>
          </c:extLst>
        </c:ser>
        <c:ser>
          <c:idx val="1"/>
          <c:order val="1"/>
          <c:tx>
            <c:strRef>
              <c:f>Data!$C$21</c:f>
              <c:strCache>
                <c:ptCount val="1"/>
                <c:pt idx="0">
                  <c:v>PAT 2026 Q1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Data!$A$22:$A$31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Microfinance</c:v>
                </c:pt>
                <c:pt idx="3">
                  <c:v>Natsave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Finca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Data!$C$22:$C$31</c:f>
              <c:numCache>
                <c:formatCode>_-* #,##0_-;\-* #,##0_-;_-* "-"??_-;_-@_-</c:formatCode>
                <c:ptCount val="10"/>
                <c:pt idx="0">
                  <c:v>90082</c:v>
                </c:pt>
                <c:pt idx="1">
                  <c:v>36261</c:v>
                </c:pt>
                <c:pt idx="2">
                  <c:v>30435</c:v>
                </c:pt>
                <c:pt idx="3">
                  <c:v>59168</c:v>
                </c:pt>
                <c:pt idx="4">
                  <c:v>23268</c:v>
                </c:pt>
                <c:pt idx="5">
                  <c:v>7374</c:v>
                </c:pt>
                <c:pt idx="6">
                  <c:v>0</c:v>
                </c:pt>
                <c:pt idx="7">
                  <c:v>1918</c:v>
                </c:pt>
                <c:pt idx="8" formatCode="_(* #,##0_);_(* \(#,##0\);_(* &quot;-&quot;??_);_(@_)">
                  <c:v>10056</c:v>
                </c:pt>
                <c:pt idx="9" formatCode="_(* #,##0_);_(* \(#,##0\);_(* &quot;-&quot;??_);_(@_)">
                  <c:v>-20446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9-4128-B370-4DD9C04A1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73896"/>
        <c:axId val="397070760"/>
      </c:barChart>
      <c:lineChart>
        <c:grouping val="standard"/>
        <c:varyColors val="0"/>
        <c:ser>
          <c:idx val="2"/>
          <c:order val="2"/>
          <c:tx>
            <c:strRef>
              <c:f>Data!$D$21</c:f>
              <c:strCache>
                <c:ptCount val="1"/>
                <c:pt idx="0">
                  <c:v>% Change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Data!$A$22:$A$31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Microfinance</c:v>
                </c:pt>
                <c:pt idx="3">
                  <c:v>Natsave</c:v>
                </c:pt>
                <c:pt idx="4">
                  <c:v>LOLC Finance</c:v>
                </c:pt>
                <c:pt idx="5">
                  <c:v>EFC</c:v>
                </c:pt>
                <c:pt idx="6">
                  <c:v>MyBucks</c:v>
                </c:pt>
                <c:pt idx="7">
                  <c:v>Finca</c:v>
                </c:pt>
                <c:pt idx="8">
                  <c:v>Vision Fund</c:v>
                </c:pt>
                <c:pt idx="9">
                  <c:v>Madison Finance</c:v>
                </c:pt>
              </c:strCache>
            </c:strRef>
          </c:cat>
          <c:val>
            <c:numRef>
              <c:f>Data!$D$22:$D$31</c:f>
              <c:numCache>
                <c:formatCode>0.00%</c:formatCode>
                <c:ptCount val="10"/>
                <c:pt idx="0">
                  <c:v>9.402544348482493E-2</c:v>
                </c:pt>
                <c:pt idx="1">
                  <c:v>-0.10137613413860622</c:v>
                </c:pt>
                <c:pt idx="2">
                  <c:v>0.25224248398225729</c:v>
                </c:pt>
                <c:pt idx="3">
                  <c:v>0.43035086533261224</c:v>
                </c:pt>
                <c:pt idx="4">
                  <c:v>0.17251160391954615</c:v>
                </c:pt>
                <c:pt idx="5">
                  <c:v>1.1300515324111744</c:v>
                </c:pt>
                <c:pt idx="6">
                  <c:v>0</c:v>
                </c:pt>
                <c:pt idx="7">
                  <c:v>-2.9911366006256519</c:v>
                </c:pt>
                <c:pt idx="8">
                  <c:v>0.11465791567223547</c:v>
                </c:pt>
                <c:pt idx="9">
                  <c:v>0.35151129805340897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9-4128-B370-4DD9C04A1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74680"/>
        <c:axId val="397077816"/>
      </c:lineChart>
      <c:catAx>
        <c:axId val="39707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0760"/>
        <c:crosses val="autoZero"/>
        <c:auto val="1"/>
        <c:lblAlgn val="ctr"/>
        <c:lblOffset val="100"/>
        <c:noMultiLvlLbl val="0"/>
      </c:catAx>
      <c:valAx>
        <c:axId val="39707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3896"/>
        <c:crosses val="autoZero"/>
        <c:crossBetween val="between"/>
      </c:valAx>
      <c:valAx>
        <c:axId val="397077816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4680"/>
        <c:crosses val="max"/>
        <c:crossBetween val="between"/>
      </c:valAx>
      <c:catAx>
        <c:axId val="397074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70778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Total Income (Q on Q)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Data!$F$21</c:f>
              <c:strCache>
                <c:ptCount val="1"/>
                <c:pt idx="0">
                  <c:v>Total Inc.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Data!$E$22:$E$31</c:f>
              <c:strCache>
                <c:ptCount val="10"/>
                <c:pt idx="0">
                  <c:v>Bayport</c:v>
                </c:pt>
                <c:pt idx="1">
                  <c:v>EFC</c:v>
                </c:pt>
                <c:pt idx="2">
                  <c:v>Finca</c:v>
                </c:pt>
                <c:pt idx="3">
                  <c:v>LOLC Finance</c:v>
                </c:pt>
                <c:pt idx="4">
                  <c:v>Madison Finance</c:v>
                </c:pt>
                <c:pt idx="5">
                  <c:v>Microfinance</c:v>
                </c:pt>
                <c:pt idx="6">
                  <c:v>MyBucks</c:v>
                </c:pt>
                <c:pt idx="7">
                  <c:v>Natsave</c:v>
                </c:pt>
                <c:pt idx="8">
                  <c:v>Vision Fund</c:v>
                </c:pt>
                <c:pt idx="9">
                  <c:v>ZNBS</c:v>
                </c:pt>
              </c:strCache>
            </c:strRef>
          </c:cat>
          <c:val>
            <c:numRef>
              <c:f>Data!$F$22:$F$31</c:f>
              <c:numCache>
                <c:formatCode>_-* #,##0_-;\-* #,##0_-;_-* "-"??_-;_-@_-</c:formatCode>
                <c:ptCount val="10"/>
                <c:pt idx="0">
                  <c:v>230524</c:v>
                </c:pt>
                <c:pt idx="1">
                  <c:v>59262</c:v>
                </c:pt>
                <c:pt idx="2">
                  <c:v>19230</c:v>
                </c:pt>
                <c:pt idx="3">
                  <c:v>83824</c:v>
                </c:pt>
                <c:pt idx="4">
                  <c:v>-14481</c:v>
                </c:pt>
                <c:pt idx="5">
                  <c:v>107300</c:v>
                </c:pt>
                <c:pt idx="6">
                  <c:v>0</c:v>
                </c:pt>
                <c:pt idx="7">
                  <c:v>215674</c:v>
                </c:pt>
                <c:pt idx="8">
                  <c:v>64547</c:v>
                </c:pt>
                <c:pt idx="9">
                  <c:v>142851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F-43D6-8106-D9BBAD2BC30D}"/>
            </c:ext>
          </c:extLst>
        </c:ser>
        <c:ser>
          <c:idx val="1"/>
          <c:order val="1"/>
          <c:tx>
            <c:strRef>
              <c:f>Data!$G$21</c:f>
              <c:strCache>
                <c:ptCount val="1"/>
                <c:pt idx="0">
                  <c:v>Total Inc. 2026 Q1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Data!$E$22:$E$31</c:f>
              <c:strCache>
                <c:ptCount val="10"/>
                <c:pt idx="0">
                  <c:v>Bayport</c:v>
                </c:pt>
                <c:pt idx="1">
                  <c:v>EFC</c:v>
                </c:pt>
                <c:pt idx="2">
                  <c:v>Finca</c:v>
                </c:pt>
                <c:pt idx="3">
                  <c:v>LOLC Finance</c:v>
                </c:pt>
                <c:pt idx="4">
                  <c:v>Madison Finance</c:v>
                </c:pt>
                <c:pt idx="5">
                  <c:v>Microfinance</c:v>
                </c:pt>
                <c:pt idx="6">
                  <c:v>MyBucks</c:v>
                </c:pt>
                <c:pt idx="7">
                  <c:v>Natsave</c:v>
                </c:pt>
                <c:pt idx="8">
                  <c:v>Vision Fund</c:v>
                </c:pt>
                <c:pt idx="9">
                  <c:v>ZNBS</c:v>
                </c:pt>
              </c:strCache>
            </c:strRef>
          </c:cat>
          <c:val>
            <c:numRef>
              <c:f>Data!$G$22:$G$31</c:f>
              <c:numCache>
                <c:formatCode>_-* #,##0_-;\-* #,##0_-;_-* "-"??_-;_-@_-</c:formatCode>
                <c:ptCount val="10"/>
                <c:pt idx="0">
                  <c:v>221893</c:v>
                </c:pt>
                <c:pt idx="1">
                  <c:v>48952</c:v>
                </c:pt>
                <c:pt idx="2">
                  <c:v>23650</c:v>
                </c:pt>
                <c:pt idx="3">
                  <c:v>73990</c:v>
                </c:pt>
                <c:pt idx="4">
                  <c:v>-7691</c:v>
                </c:pt>
                <c:pt idx="5">
                  <c:v>91278</c:v>
                </c:pt>
                <c:pt idx="6">
                  <c:v>0</c:v>
                </c:pt>
                <c:pt idx="7">
                  <c:v>199360</c:v>
                </c:pt>
                <c:pt idx="8">
                  <c:v>60968</c:v>
                </c:pt>
                <c:pt idx="9">
                  <c:v>134264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F-43D6-8106-D9BBAD2BC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74288"/>
        <c:axId val="397071152"/>
      </c:barChart>
      <c:lineChart>
        <c:grouping val="standard"/>
        <c:varyColors val="0"/>
        <c:ser>
          <c:idx val="2"/>
          <c:order val="2"/>
          <c:tx>
            <c:strRef>
              <c:f>Data!$H$21</c:f>
              <c:strCache>
                <c:ptCount val="1"/>
                <c:pt idx="0">
                  <c:v>% Change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Data!$E$22:$E$31</c:f>
              <c:strCache>
                <c:ptCount val="10"/>
                <c:pt idx="0">
                  <c:v>Bayport</c:v>
                </c:pt>
                <c:pt idx="1">
                  <c:v>EFC</c:v>
                </c:pt>
                <c:pt idx="2">
                  <c:v>Finca</c:v>
                </c:pt>
                <c:pt idx="3">
                  <c:v>LOLC Finance</c:v>
                </c:pt>
                <c:pt idx="4">
                  <c:v>Madison Finance</c:v>
                </c:pt>
                <c:pt idx="5">
                  <c:v>Microfinance</c:v>
                </c:pt>
                <c:pt idx="6">
                  <c:v>MyBucks</c:v>
                </c:pt>
                <c:pt idx="7">
                  <c:v>Natsave</c:v>
                </c:pt>
                <c:pt idx="8">
                  <c:v>Vision Fund</c:v>
                </c:pt>
                <c:pt idx="9">
                  <c:v>ZNBS</c:v>
                </c:pt>
              </c:strCache>
            </c:strRef>
          </c:cat>
          <c:val>
            <c:numRef>
              <c:f>Data!$H$22:$H$31</c:f>
              <c:numCache>
                <c:formatCode>0.00%</c:formatCode>
                <c:ptCount val="10"/>
                <c:pt idx="0">
                  <c:v>3.889712609230575E-2</c:v>
                </c:pt>
                <c:pt idx="1">
                  <c:v>0.21061447949011278</c:v>
                </c:pt>
                <c:pt idx="2">
                  <c:v>-0.18689217758985202</c:v>
                </c:pt>
                <c:pt idx="3">
                  <c:v>0.13290985268279498</c:v>
                </c:pt>
                <c:pt idx="4">
                  <c:v>0.88285008451436742</c:v>
                </c:pt>
                <c:pt idx="5">
                  <c:v>0.17552970047547053</c:v>
                </c:pt>
                <c:pt idx="6">
                  <c:v>0</c:v>
                </c:pt>
                <c:pt idx="7">
                  <c:v>8.1831861958266458E-2</c:v>
                </c:pt>
                <c:pt idx="8">
                  <c:v>5.8702926125180424E-2</c:v>
                </c:pt>
                <c:pt idx="9">
                  <c:v>6.3956086516117505E-2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8F-43D6-8106-D9BBAD2BC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72328"/>
        <c:axId val="397075856"/>
      </c:lineChart>
      <c:catAx>
        <c:axId val="39707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1152"/>
        <c:crosses val="autoZero"/>
        <c:auto val="1"/>
        <c:lblAlgn val="ctr"/>
        <c:lblOffset val="100"/>
        <c:noMultiLvlLbl val="0"/>
      </c:catAx>
      <c:valAx>
        <c:axId val="39707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4288"/>
        <c:crosses val="autoZero"/>
        <c:crossBetween val="between"/>
      </c:valAx>
      <c:valAx>
        <c:axId val="397075856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2328"/>
        <c:crosses val="max"/>
        <c:crossBetween val="between"/>
      </c:valAx>
      <c:catAx>
        <c:axId val="3970723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7075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Net Interest Income (Q on Q)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Data!$J$21</c:f>
              <c:strCache>
                <c:ptCount val="1"/>
                <c:pt idx="0">
                  <c:v>Net Int. Inc. 2026 Q2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Data!$I$22:$I$31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Natsave</c:v>
                </c:pt>
                <c:pt idx="3">
                  <c:v>EFC</c:v>
                </c:pt>
                <c:pt idx="4">
                  <c:v>Microfinance</c:v>
                </c:pt>
                <c:pt idx="5">
                  <c:v>Finca</c:v>
                </c:pt>
                <c:pt idx="6">
                  <c:v>Vision Fund</c:v>
                </c:pt>
                <c:pt idx="7">
                  <c:v>MyBucks</c:v>
                </c:pt>
                <c:pt idx="8">
                  <c:v>LOLC Finance</c:v>
                </c:pt>
                <c:pt idx="9">
                  <c:v>Madison Finance</c:v>
                </c:pt>
              </c:strCache>
            </c:strRef>
          </c:cat>
          <c:val>
            <c:numRef>
              <c:f>Data!$J$22:$J$31</c:f>
              <c:numCache>
                <c:formatCode>_-* #,##0_-;\-* #,##0_-;_-* "-"??_-;_-@_-</c:formatCode>
                <c:ptCount val="10"/>
                <c:pt idx="0">
                  <c:v>201262</c:v>
                </c:pt>
                <c:pt idx="1">
                  <c:v>117881</c:v>
                </c:pt>
                <c:pt idx="2">
                  <c:v>171690</c:v>
                </c:pt>
                <c:pt idx="3">
                  <c:v>45714</c:v>
                </c:pt>
                <c:pt idx="4">
                  <c:v>60860</c:v>
                </c:pt>
                <c:pt idx="5">
                  <c:v>19586</c:v>
                </c:pt>
                <c:pt idx="6">
                  <c:v>45210</c:v>
                </c:pt>
                <c:pt idx="7">
                  <c:v>0</c:v>
                </c:pt>
                <c:pt idx="8">
                  <c:v>17167</c:v>
                </c:pt>
                <c:pt idx="9">
                  <c:v>-17261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6-4ADE-AEE2-9281B464FF80}"/>
            </c:ext>
          </c:extLst>
        </c:ser>
        <c:ser>
          <c:idx val="1"/>
          <c:order val="1"/>
          <c:tx>
            <c:strRef>
              <c:f>Data!$K$21</c:f>
              <c:strCache>
                <c:ptCount val="1"/>
                <c:pt idx="0">
                  <c:v>Net Int. Inc. 2026 Q1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Data!$I$22:$I$31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Natsave</c:v>
                </c:pt>
                <c:pt idx="3">
                  <c:v>EFC</c:v>
                </c:pt>
                <c:pt idx="4">
                  <c:v>Microfinance</c:v>
                </c:pt>
                <c:pt idx="5">
                  <c:v>Finca</c:v>
                </c:pt>
                <c:pt idx="6">
                  <c:v>Vision Fund</c:v>
                </c:pt>
                <c:pt idx="7">
                  <c:v>MyBucks</c:v>
                </c:pt>
                <c:pt idx="8">
                  <c:v>LOLC Finance</c:v>
                </c:pt>
                <c:pt idx="9">
                  <c:v>Madison Finance</c:v>
                </c:pt>
              </c:strCache>
            </c:strRef>
          </c:cat>
          <c:val>
            <c:numRef>
              <c:f>Data!$K$22:$K$31</c:f>
              <c:numCache>
                <c:formatCode>_-* #,##0_-;\-* #,##0_-;_-* "-"??_-;_-@_-</c:formatCode>
                <c:ptCount val="10"/>
                <c:pt idx="0">
                  <c:v>193510</c:v>
                </c:pt>
                <c:pt idx="1">
                  <c:v>111517</c:v>
                </c:pt>
                <c:pt idx="2">
                  <c:v>160968</c:v>
                </c:pt>
                <c:pt idx="3">
                  <c:v>40156</c:v>
                </c:pt>
                <c:pt idx="4">
                  <c:v>51657</c:v>
                </c:pt>
                <c:pt idx="5">
                  <c:v>24654</c:v>
                </c:pt>
                <c:pt idx="6">
                  <c:v>43933</c:v>
                </c:pt>
                <c:pt idx="7">
                  <c:v>0</c:v>
                </c:pt>
                <c:pt idx="8">
                  <c:v>12759</c:v>
                </c:pt>
                <c:pt idx="9">
                  <c:v>-9898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16-4ADE-AEE2-9281B464F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73112"/>
        <c:axId val="397073504"/>
      </c:barChart>
      <c:lineChart>
        <c:grouping val="standard"/>
        <c:varyColors val="0"/>
        <c:ser>
          <c:idx val="2"/>
          <c:order val="2"/>
          <c:tx>
            <c:strRef>
              <c:f>Data!$L$21</c:f>
              <c:strCache>
                <c:ptCount val="1"/>
                <c:pt idx="0">
                  <c:v>% Change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Data!$I$22:$I$31</c:f>
              <c:strCache>
                <c:ptCount val="10"/>
                <c:pt idx="0">
                  <c:v>Bayport</c:v>
                </c:pt>
                <c:pt idx="1">
                  <c:v>ZNBS</c:v>
                </c:pt>
                <c:pt idx="2">
                  <c:v>Natsave</c:v>
                </c:pt>
                <c:pt idx="3">
                  <c:v>EFC</c:v>
                </c:pt>
                <c:pt idx="4">
                  <c:v>Microfinance</c:v>
                </c:pt>
                <c:pt idx="5">
                  <c:v>Finca</c:v>
                </c:pt>
                <c:pt idx="6">
                  <c:v>Vision Fund</c:v>
                </c:pt>
                <c:pt idx="7">
                  <c:v>MyBucks</c:v>
                </c:pt>
                <c:pt idx="8">
                  <c:v>LOLC Finance</c:v>
                </c:pt>
                <c:pt idx="9">
                  <c:v>Madison Finance</c:v>
                </c:pt>
              </c:strCache>
            </c:strRef>
          </c:cat>
          <c:val>
            <c:numRef>
              <c:f>Data!$L$22:$L$31</c:f>
              <c:numCache>
                <c:formatCode>0.00%</c:formatCode>
                <c:ptCount val="10"/>
                <c:pt idx="0">
                  <c:v>4.0059945222469126E-2</c:v>
                </c:pt>
                <c:pt idx="1">
                  <c:v>5.7067532304491693E-2</c:v>
                </c:pt>
                <c:pt idx="2">
                  <c:v>6.6609512449679442E-2</c:v>
                </c:pt>
                <c:pt idx="3">
                  <c:v>0.13841020021914532</c:v>
                </c:pt>
                <c:pt idx="4">
                  <c:v>0.17815591304179493</c:v>
                </c:pt>
                <c:pt idx="5">
                  <c:v>-0.20556501987507098</c:v>
                </c:pt>
                <c:pt idx="6">
                  <c:v>2.9066988368652267E-2</c:v>
                </c:pt>
                <c:pt idx="7">
                  <c:v>0</c:v>
                </c:pt>
                <c:pt idx="8">
                  <c:v>0.34548162081667844</c:v>
                </c:pt>
                <c:pt idx="9">
                  <c:v>0.74388765407152957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6-4ADE-AEE2-9281B464F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76640"/>
        <c:axId val="397075072"/>
      </c:lineChart>
      <c:catAx>
        <c:axId val="397073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3504"/>
        <c:crosses val="autoZero"/>
        <c:auto val="1"/>
        <c:lblAlgn val="ctr"/>
        <c:lblOffset val="100"/>
        <c:noMultiLvlLbl val="0"/>
      </c:catAx>
      <c:valAx>
        <c:axId val="39707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3112"/>
        <c:crosses val="autoZero"/>
        <c:crossBetween val="between"/>
      </c:valAx>
      <c:valAx>
        <c:axId val="397075072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97076640"/>
        <c:crosses val="max"/>
        <c:crossBetween val="between"/>
      </c:valAx>
      <c:catAx>
        <c:axId val="3970766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707507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10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11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12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13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14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15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16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17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18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19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2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20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3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4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5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6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7.xml><?xml version="1.0" encoding="utf-8"?>
<formControlPr xmlns="http://schemas.microsoft.com/office/spreadsheetml/2009/9/main" objectType="Drop" dropLines="4" dropStyle="combo" dx="16" fmlaLink="#REF!" fmlaRange="$B$3:$B$5" sel="0" val="0"/>
</file>

<file path=xl/ctrlProps/ctrlProp8.xml><?xml version="1.0" encoding="utf-8"?>
<formControlPr xmlns="http://schemas.microsoft.com/office/spreadsheetml/2009/9/main" objectType="Drop" dropLines="4" dropStyle="combo" dx="16" fmlaLink="'[1]Scenarios and assumptions'!$E$5" fmlaRange="'[1]Scenarios and assumptions'!$C$3:$C$5" sel="0" val="0"/>
</file>

<file path=xl/ctrlProps/ctrlProp9.xml><?xml version="1.0" encoding="utf-8"?>
<formControlPr xmlns="http://schemas.microsoft.com/office/spreadsheetml/2009/9/main" objectType="Drop" dropLines="4" dropStyle="combo" dx="16" fmlaLink="#REF!" fmlaRange="$B$3:$B$5" sel="0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Loans &amp; Deposits Yield'!A1"/><Relationship Id="rId3" Type="http://schemas.openxmlformats.org/officeDocument/2006/relationships/hyperlink" Target="#'Income Statement'!A1"/><Relationship Id="rId7" Type="http://schemas.openxmlformats.org/officeDocument/2006/relationships/hyperlink" Target="#'2026 Q2 Data'!A1"/><Relationship Id="rId2" Type="http://schemas.openxmlformats.org/officeDocument/2006/relationships/hyperlink" Target="#'Balance Sheet'!A1"/><Relationship Id="rId1" Type="http://schemas.openxmlformats.org/officeDocument/2006/relationships/image" Target="../media/image1.jpeg"/><Relationship Id="rId6" Type="http://schemas.openxmlformats.org/officeDocument/2006/relationships/hyperlink" Target="#Capital!A1"/><Relationship Id="rId5" Type="http://schemas.openxmlformats.org/officeDocument/2006/relationships/hyperlink" Target="#Credit!A1"/><Relationship Id="rId10" Type="http://schemas.openxmlformats.org/officeDocument/2006/relationships/hyperlink" Target="#Overview!A1"/><Relationship Id="rId4" Type="http://schemas.openxmlformats.org/officeDocument/2006/relationships/hyperlink" Target="#Efficiency!A1"/><Relationship Id="rId9" Type="http://schemas.openxmlformats.org/officeDocument/2006/relationships/hyperlink" Target="#'2026 YTD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hyperlink" Target="#Switchboard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hyperlink" Target="#Switchboard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Switchboard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7" Type="http://schemas.openxmlformats.org/officeDocument/2006/relationships/chart" Target="../charts/chart21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hyperlink" Target="#Switchboard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chart" Target="../charts/chart25.xml"/><Relationship Id="rId4" Type="http://schemas.openxmlformats.org/officeDocument/2006/relationships/hyperlink" Target="#Switchboard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Switchboard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Switchboard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Switchboard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Switchboard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174890</xdr:colOff>
      <xdr:row>7</xdr:row>
      <xdr:rowOff>161925</xdr:rowOff>
    </xdr:from>
    <xdr:to>
      <xdr:col>18</xdr:col>
      <xdr:colOff>214312</xdr:colOff>
      <xdr:row>22</xdr:row>
      <xdr:rowOff>180976</xdr:rowOff>
    </xdr:to>
    <xdr:pic>
      <xdr:nvPicPr>
        <xdr:cNvPr id="2" name="Picture 1" descr="Image result for zambian flag pic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143"/>
        <a:stretch/>
      </xdr:blipFill>
      <xdr:spPr bwMode="auto">
        <a:xfrm>
          <a:off x="6880490" y="1495425"/>
          <a:ext cx="4306622" cy="287655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533400</xdr:colOff>
      <xdr:row>0</xdr:row>
      <xdr:rowOff>85725</xdr:rowOff>
    </xdr:from>
    <xdr:to>
      <xdr:col>11</xdr:col>
      <xdr:colOff>561975</xdr:colOff>
      <xdr:row>3</xdr:row>
      <xdr:rowOff>38100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3400" y="85725"/>
          <a:ext cx="6734175" cy="523875"/>
        </a:xfrm>
        <a:prstGeom prst="flowChartAlternateProcess">
          <a:avLst/>
        </a:prstGeom>
        <a:solidFill>
          <a:srgbClr val="FDAA03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NON-BANKS</a:t>
          </a:r>
          <a:r>
            <a:rPr lang="en-ZW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INSTITUTIONS</a:t>
          </a:r>
          <a:r>
            <a:rPr lang="en-Z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PERFORMANCE REPORT: MARKET ANALYSIS</a:t>
          </a:r>
          <a:endParaRPr lang="en-ZW">
            <a:effectLst/>
          </a:endParaRPr>
        </a:p>
        <a:p>
          <a:pPr algn="ctr"/>
          <a:r>
            <a:rPr lang="en-Z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ZW" sz="1100" b="1" i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Q</a:t>
          </a:r>
          <a:r>
            <a:rPr lang="en-ZW" sz="11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uarter ended</a:t>
          </a:r>
          <a:r>
            <a:rPr lang="en-ZW" sz="1100" b="1" i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30 June</a:t>
          </a:r>
          <a:r>
            <a:rPr lang="en-ZW" sz="11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2026</a:t>
          </a:r>
          <a:endParaRPr lang="en-ZW">
            <a:effectLst/>
          </a:endParaRPr>
        </a:p>
        <a:p>
          <a:pPr algn="ctr"/>
          <a:endParaRPr lang="en-ZW" sz="1100"/>
        </a:p>
      </xdr:txBody>
    </xdr:sp>
    <xdr:clientData/>
  </xdr:twoCellAnchor>
  <xdr:twoCellAnchor>
    <xdr:from>
      <xdr:col>3</xdr:col>
      <xdr:colOff>438149</xdr:colOff>
      <xdr:row>5</xdr:row>
      <xdr:rowOff>171450</xdr:rowOff>
    </xdr:from>
    <xdr:to>
      <xdr:col>8</xdr:col>
      <xdr:colOff>295274</xdr:colOff>
      <xdr:row>10</xdr:row>
      <xdr:rowOff>76200</xdr:rowOff>
    </xdr:to>
    <xdr:grpSp>
      <xdr:nvGrpSpPr>
        <xdr:cNvPr id="8" name="Group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2266949" y="1123950"/>
          <a:ext cx="2905125" cy="857250"/>
          <a:chOff x="323850" y="1352550"/>
          <a:chExt cx="3048000" cy="857250"/>
        </a:xfrm>
      </xdr:grpSpPr>
      <xdr:sp macro="" textlink="">
        <xdr:nvSpPr>
          <xdr:cNvPr id="9" name="Diamond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1200150" y="1600199"/>
            <a:ext cx="1323975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500" b="1">
                <a:solidFill>
                  <a:schemeClr val="bg1"/>
                </a:solidFill>
              </a:rPr>
              <a:t>BalanceSheet Sheet</a:t>
            </a:r>
          </a:p>
        </xdr:txBody>
      </xdr:sp>
    </xdr:grpSp>
    <xdr:clientData/>
  </xdr:twoCellAnchor>
  <xdr:twoCellAnchor>
    <xdr:from>
      <xdr:col>0</xdr:col>
      <xdr:colOff>609599</xdr:colOff>
      <xdr:row>8</xdr:row>
      <xdr:rowOff>66675</xdr:rowOff>
    </xdr:from>
    <xdr:to>
      <xdr:col>5</xdr:col>
      <xdr:colOff>466724</xdr:colOff>
      <xdr:row>12</xdr:row>
      <xdr:rowOff>161925</xdr:rowOff>
    </xdr:to>
    <xdr:grpSp>
      <xdr:nvGrpSpPr>
        <xdr:cNvPr id="14" name="Group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609599" y="1590675"/>
          <a:ext cx="2905125" cy="857250"/>
          <a:chOff x="323850" y="1352550"/>
          <a:chExt cx="3048000" cy="857250"/>
        </a:xfrm>
      </xdr:grpSpPr>
      <xdr:sp macro="" textlink="">
        <xdr:nvSpPr>
          <xdr:cNvPr id="15" name="Diamond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1095375" y="1600199"/>
            <a:ext cx="1733550" cy="4286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500" b="1">
                <a:solidFill>
                  <a:schemeClr val="bg1"/>
                </a:solidFill>
              </a:rPr>
              <a:t>Income</a:t>
            </a:r>
            <a:r>
              <a:rPr lang="en-GB" sz="1500" b="1" baseline="0">
                <a:solidFill>
                  <a:schemeClr val="bg1"/>
                </a:solidFill>
              </a:rPr>
              <a:t> Statement</a:t>
            </a:r>
            <a:endParaRPr lang="en-GB" sz="15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3</xdr:col>
      <xdr:colOff>428624</xdr:colOff>
      <xdr:row>10</xdr:row>
      <xdr:rowOff>133350</xdr:rowOff>
    </xdr:from>
    <xdr:to>
      <xdr:col>8</xdr:col>
      <xdr:colOff>285749</xdr:colOff>
      <xdr:row>15</xdr:row>
      <xdr:rowOff>38100</xdr:rowOff>
    </xdr:to>
    <xdr:grpSp>
      <xdr:nvGrpSpPr>
        <xdr:cNvPr id="17" name="Group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2257424" y="2038350"/>
          <a:ext cx="2905125" cy="857250"/>
          <a:chOff x="323850" y="1352550"/>
          <a:chExt cx="3048000" cy="857250"/>
        </a:xfrm>
      </xdr:grpSpPr>
      <xdr:sp macro="" textlink="">
        <xdr:nvSpPr>
          <xdr:cNvPr id="18" name="Diamond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1152526" y="1600199"/>
            <a:ext cx="1562100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500" b="1">
                <a:solidFill>
                  <a:schemeClr val="bg1"/>
                </a:solidFill>
              </a:rPr>
              <a:t>Efficiency</a:t>
            </a:r>
            <a:r>
              <a:rPr lang="en-GB" sz="1500" b="1" baseline="0">
                <a:solidFill>
                  <a:schemeClr val="bg1"/>
                </a:solidFill>
              </a:rPr>
              <a:t> Ratios</a:t>
            </a:r>
            <a:endParaRPr lang="en-GB" sz="15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0</xdr:col>
      <xdr:colOff>600074</xdr:colOff>
      <xdr:row>13</xdr:row>
      <xdr:rowOff>38100</xdr:rowOff>
    </xdr:from>
    <xdr:to>
      <xdr:col>5</xdr:col>
      <xdr:colOff>457199</xdr:colOff>
      <xdr:row>17</xdr:row>
      <xdr:rowOff>133350</xdr:rowOff>
    </xdr:to>
    <xdr:grpSp>
      <xdr:nvGrpSpPr>
        <xdr:cNvPr id="20" name="Group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600074" y="2514600"/>
          <a:ext cx="2905125" cy="857250"/>
          <a:chOff x="323850" y="1352550"/>
          <a:chExt cx="3048000" cy="857250"/>
        </a:xfrm>
      </xdr:grpSpPr>
      <xdr:sp macro="" textlink="">
        <xdr:nvSpPr>
          <xdr:cNvPr id="21" name="Diamond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952500" y="1600199"/>
            <a:ext cx="2049594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500" b="1">
                <a:solidFill>
                  <a:schemeClr val="bg1"/>
                </a:solidFill>
              </a:rPr>
              <a:t>Credit Performance</a:t>
            </a:r>
          </a:p>
        </xdr:txBody>
      </xdr:sp>
    </xdr:grpSp>
    <xdr:clientData/>
  </xdr:twoCellAnchor>
  <xdr:twoCellAnchor>
    <xdr:from>
      <xdr:col>3</xdr:col>
      <xdr:colOff>428624</xdr:colOff>
      <xdr:row>15</xdr:row>
      <xdr:rowOff>123825</xdr:rowOff>
    </xdr:from>
    <xdr:to>
      <xdr:col>8</xdr:col>
      <xdr:colOff>285749</xdr:colOff>
      <xdr:row>20</xdr:row>
      <xdr:rowOff>28575</xdr:rowOff>
    </xdr:to>
    <xdr:grpSp>
      <xdr:nvGrpSpPr>
        <xdr:cNvPr id="26" name="Group 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2257424" y="2981325"/>
          <a:ext cx="2905125" cy="857250"/>
          <a:chOff x="323850" y="1352550"/>
          <a:chExt cx="3048000" cy="857250"/>
        </a:xfrm>
      </xdr:grpSpPr>
      <xdr:sp macro="" textlink="">
        <xdr:nvSpPr>
          <xdr:cNvPr id="27" name="Diamond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1009650" y="1514474"/>
            <a:ext cx="1704975" cy="5619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500" b="1">
                <a:solidFill>
                  <a:schemeClr val="bg1"/>
                </a:solidFill>
              </a:rPr>
              <a:t>Capital</a:t>
            </a:r>
            <a:r>
              <a:rPr lang="en-GB" sz="1500" b="1" baseline="0">
                <a:solidFill>
                  <a:schemeClr val="bg1"/>
                </a:solidFill>
              </a:rPr>
              <a:t> Performance</a:t>
            </a:r>
            <a:endParaRPr lang="en-GB" sz="15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3</xdr:col>
      <xdr:colOff>438149</xdr:colOff>
      <xdr:row>20</xdr:row>
      <xdr:rowOff>85725</xdr:rowOff>
    </xdr:from>
    <xdr:to>
      <xdr:col>8</xdr:col>
      <xdr:colOff>295274</xdr:colOff>
      <xdr:row>24</xdr:row>
      <xdr:rowOff>180975</xdr:rowOff>
    </xdr:to>
    <xdr:grpSp>
      <xdr:nvGrpSpPr>
        <xdr:cNvPr id="29" name="Group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266949" y="3895725"/>
          <a:ext cx="2905125" cy="857250"/>
          <a:chOff x="323850" y="1352550"/>
          <a:chExt cx="3048000" cy="857250"/>
        </a:xfrm>
      </xdr:grpSpPr>
      <xdr:sp macro="" textlink="">
        <xdr:nvSpPr>
          <xdr:cNvPr id="30" name="Diamond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1057275" y="1590674"/>
            <a:ext cx="1704975" cy="3714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500" b="1">
                <a:solidFill>
                  <a:schemeClr val="bg1"/>
                </a:solidFill>
              </a:rPr>
              <a:t>2026 Q2 Data</a:t>
            </a:r>
          </a:p>
        </xdr:txBody>
      </xdr:sp>
    </xdr:grpSp>
    <xdr:clientData/>
  </xdr:twoCellAnchor>
  <xdr:twoCellAnchor>
    <xdr:from>
      <xdr:col>0</xdr:col>
      <xdr:colOff>600074</xdr:colOff>
      <xdr:row>18</xdr:row>
      <xdr:rowOff>9525</xdr:rowOff>
    </xdr:from>
    <xdr:to>
      <xdr:col>5</xdr:col>
      <xdr:colOff>457199</xdr:colOff>
      <xdr:row>22</xdr:row>
      <xdr:rowOff>123825</xdr:rowOff>
    </xdr:to>
    <xdr:grpSp>
      <xdr:nvGrpSpPr>
        <xdr:cNvPr id="25" name="Group 2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/>
      </xdr:nvGrpSpPr>
      <xdr:grpSpPr>
        <a:xfrm>
          <a:off x="600074" y="3438525"/>
          <a:ext cx="2905125" cy="876300"/>
          <a:chOff x="323850" y="1352550"/>
          <a:chExt cx="3048000" cy="876300"/>
        </a:xfrm>
      </xdr:grpSpPr>
      <xdr:sp macro="" textlink="">
        <xdr:nvSpPr>
          <xdr:cNvPr id="32" name="Diamond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3" name="TextBox 32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1028700" y="1504948"/>
            <a:ext cx="1704975" cy="7239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500" b="1">
                <a:solidFill>
                  <a:schemeClr val="bg1"/>
                </a:solidFill>
              </a:rPr>
              <a:t>Loans &amp; Deposits Yield</a:t>
            </a:r>
          </a:p>
        </xdr:txBody>
      </xdr:sp>
    </xdr:grpSp>
    <xdr:clientData/>
  </xdr:twoCellAnchor>
  <xdr:twoCellAnchor>
    <xdr:from>
      <xdr:col>0</xdr:col>
      <xdr:colOff>600074</xdr:colOff>
      <xdr:row>22</xdr:row>
      <xdr:rowOff>161925</xdr:rowOff>
    </xdr:from>
    <xdr:to>
      <xdr:col>5</xdr:col>
      <xdr:colOff>457199</xdr:colOff>
      <xdr:row>27</xdr:row>
      <xdr:rowOff>66675</xdr:rowOff>
    </xdr:to>
    <xdr:grpSp>
      <xdr:nvGrpSpPr>
        <xdr:cNvPr id="34" name="Group 3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600074" y="4352925"/>
          <a:ext cx="2905125" cy="857250"/>
          <a:chOff x="323850" y="1352550"/>
          <a:chExt cx="3048000" cy="857250"/>
        </a:xfrm>
      </xdr:grpSpPr>
      <xdr:sp macro="" textlink="">
        <xdr:nvSpPr>
          <xdr:cNvPr id="35" name="Diamond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1057275" y="1590674"/>
            <a:ext cx="1704975" cy="3714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500" b="1">
                <a:solidFill>
                  <a:schemeClr val="bg1"/>
                </a:solidFill>
              </a:rPr>
              <a:t>2026 YTD</a:t>
            </a:r>
          </a:p>
        </xdr:txBody>
      </xdr:sp>
    </xdr:grpSp>
    <xdr:clientData/>
  </xdr:twoCellAnchor>
  <xdr:twoCellAnchor>
    <xdr:from>
      <xdr:col>1</xdr:col>
      <xdr:colOff>28575</xdr:colOff>
      <xdr:row>3</xdr:row>
      <xdr:rowOff>95250</xdr:rowOff>
    </xdr:from>
    <xdr:to>
      <xdr:col>5</xdr:col>
      <xdr:colOff>495300</xdr:colOff>
      <xdr:row>8</xdr:row>
      <xdr:rowOff>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638175" y="666750"/>
          <a:ext cx="2905125" cy="857250"/>
          <a:chOff x="323850" y="1352550"/>
          <a:chExt cx="3048000" cy="857250"/>
        </a:xfrm>
      </xdr:grpSpPr>
      <xdr:sp macro="" textlink="">
        <xdr:nvSpPr>
          <xdr:cNvPr id="38" name="Diamond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323850" y="1352550"/>
            <a:ext cx="3048000" cy="857250"/>
          </a:xfrm>
          <a:prstGeom prst="diamond">
            <a:avLst/>
          </a:prstGeom>
          <a:solidFill>
            <a:srgbClr val="FDAA03"/>
          </a:solidFill>
          <a:ln>
            <a:solidFill>
              <a:srgbClr val="FDAA03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9" name="TextBox 38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1371600" y="1600199"/>
            <a:ext cx="1152525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500" b="1">
                <a:solidFill>
                  <a:schemeClr val="bg1"/>
                </a:solidFill>
              </a:rPr>
              <a:t>Overview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3</xdr:row>
      <xdr:rowOff>180974</xdr:rowOff>
    </xdr:from>
    <xdr:to>
      <xdr:col>9</xdr:col>
      <xdr:colOff>485775</xdr:colOff>
      <xdr:row>20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183355</xdr:colOff>
      <xdr:row>3</xdr:row>
      <xdr:rowOff>185738</xdr:rowOff>
    </xdr:from>
    <xdr:to>
      <xdr:col>20</xdr:col>
      <xdr:colOff>19050</xdr:colOff>
      <xdr:row>21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21</xdr:row>
      <xdr:rowOff>157162</xdr:rowOff>
    </xdr:from>
    <xdr:to>
      <xdr:col>9</xdr:col>
      <xdr:colOff>495300</xdr:colOff>
      <xdr:row>39</xdr:row>
      <xdr:rowOff>57149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185736</xdr:colOff>
      <xdr:row>21</xdr:row>
      <xdr:rowOff>159544</xdr:rowOff>
    </xdr:from>
    <xdr:to>
      <xdr:col>20</xdr:col>
      <xdr:colOff>19049</xdr:colOff>
      <xdr:row>39</xdr:row>
      <xdr:rowOff>57149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223836</xdr:colOff>
      <xdr:row>40</xdr:row>
      <xdr:rowOff>9525</xdr:rowOff>
    </xdr:from>
    <xdr:to>
      <xdr:col>9</xdr:col>
      <xdr:colOff>495300</xdr:colOff>
      <xdr:row>58</xdr:row>
      <xdr:rowOff>161925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178592</xdr:colOff>
      <xdr:row>40</xdr:row>
      <xdr:rowOff>16669</xdr:rowOff>
    </xdr:from>
    <xdr:to>
      <xdr:col>20</xdr:col>
      <xdr:colOff>9525</xdr:colOff>
      <xdr:row>58</xdr:row>
      <xdr:rowOff>161925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38100</xdr:colOff>
      <xdr:row>0</xdr:row>
      <xdr:rowOff>142875</xdr:rowOff>
    </xdr:from>
    <xdr:to>
      <xdr:col>11</xdr:col>
      <xdr:colOff>95250</xdr:colOff>
      <xdr:row>3</xdr:row>
      <xdr:rowOff>47625</xdr:rowOff>
    </xdr:to>
    <xdr:grpSp>
      <xdr:nvGrpSpPr>
        <xdr:cNvPr id="9" name="Group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pSpPr/>
      </xdr:nvGrpSpPr>
      <xdr:grpSpPr>
        <a:xfrm>
          <a:off x="4305300" y="142875"/>
          <a:ext cx="2495550" cy="476250"/>
          <a:chOff x="381000" y="200025"/>
          <a:chExt cx="2495550" cy="476250"/>
        </a:xfrm>
      </xdr:grpSpPr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20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361949</xdr:colOff>
      <xdr:row>3</xdr:row>
      <xdr:rowOff>66673</xdr:rowOff>
    </xdr:from>
    <xdr:to>
      <xdr:col>10</xdr:col>
      <xdr:colOff>123825</xdr:colOff>
      <xdr:row>22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273843</xdr:colOff>
      <xdr:row>3</xdr:row>
      <xdr:rowOff>57150</xdr:rowOff>
    </xdr:from>
    <xdr:to>
      <xdr:col>20</xdr:col>
      <xdr:colOff>85725</xdr:colOff>
      <xdr:row>22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285750</xdr:colOff>
      <xdr:row>22</xdr:row>
      <xdr:rowOff>164307</xdr:rowOff>
    </xdr:from>
    <xdr:to>
      <xdr:col>20</xdr:col>
      <xdr:colOff>95250</xdr:colOff>
      <xdr:row>40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338138</xdr:colOff>
      <xdr:row>22</xdr:row>
      <xdr:rowOff>169067</xdr:rowOff>
    </xdr:from>
    <xdr:to>
      <xdr:col>10</xdr:col>
      <xdr:colOff>133350</xdr:colOff>
      <xdr:row>40</xdr:row>
      <xdr:rowOff>180974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354806</xdr:colOff>
      <xdr:row>41</xdr:row>
      <xdr:rowOff>135732</xdr:rowOff>
    </xdr:from>
    <xdr:to>
      <xdr:col>10</xdr:col>
      <xdr:colOff>133350</xdr:colOff>
      <xdr:row>59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290512</xdr:colOff>
      <xdr:row>41</xdr:row>
      <xdr:rowOff>119063</xdr:rowOff>
    </xdr:from>
    <xdr:to>
      <xdr:col>20</xdr:col>
      <xdr:colOff>95250</xdr:colOff>
      <xdr:row>59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57150</xdr:colOff>
      <xdr:row>0</xdr:row>
      <xdr:rowOff>95250</xdr:rowOff>
    </xdr:from>
    <xdr:to>
      <xdr:col>11</xdr:col>
      <xdr:colOff>114300</xdr:colOff>
      <xdr:row>3</xdr:row>
      <xdr:rowOff>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4324350" y="95250"/>
          <a:ext cx="2495550" cy="476250"/>
          <a:chOff x="381000" y="200025"/>
          <a:chExt cx="2495550" cy="476250"/>
        </a:xfrm>
      </xdr:grpSpPr>
      <xdr:sp macro="" textlink="">
        <xdr:nvSpPr>
          <xdr:cNvPr id="9" name="Rectangle: Rounded Corners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20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</xdr:row>
      <xdr:rowOff>142875</xdr:rowOff>
    </xdr:from>
    <xdr:to>
      <xdr:col>9</xdr:col>
      <xdr:colOff>542925</xdr:colOff>
      <xdr:row>22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145256</xdr:colOff>
      <xdr:row>3</xdr:row>
      <xdr:rowOff>140492</xdr:rowOff>
    </xdr:from>
    <xdr:to>
      <xdr:col>19</xdr:col>
      <xdr:colOff>457200</xdr:colOff>
      <xdr:row>22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514350</xdr:colOff>
      <xdr:row>0</xdr:row>
      <xdr:rowOff>104775</xdr:rowOff>
    </xdr:from>
    <xdr:to>
      <xdr:col>10</xdr:col>
      <xdr:colOff>571500</xdr:colOff>
      <xdr:row>3</xdr:row>
      <xdr:rowOff>9525</xdr:rowOff>
    </xdr:to>
    <xdr:grpSp>
      <xdr:nvGrpSpPr>
        <xdr:cNvPr id="5" name="Group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171950" y="104775"/>
          <a:ext cx="2495550" cy="476250"/>
          <a:chOff x="381000" y="200025"/>
          <a:chExt cx="2495550" cy="476250"/>
        </a:xfrm>
      </xdr:grpSpPr>
      <xdr:sp macro="" textlink="">
        <xdr:nvSpPr>
          <xdr:cNvPr id="6" name="Rectangle: Rounded Corners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20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  <xdr:twoCellAnchor>
    <xdr:from>
      <xdr:col>4</xdr:col>
      <xdr:colOff>323850</xdr:colOff>
      <xdr:row>24</xdr:row>
      <xdr:rowOff>28574</xdr:rowOff>
    </xdr:from>
    <xdr:to>
      <xdr:col>15</xdr:col>
      <xdr:colOff>0</xdr:colOff>
      <xdr:row>41</xdr:row>
      <xdr:rowOff>152399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3</xdr:row>
      <xdr:rowOff>161925</xdr:rowOff>
    </xdr:from>
    <xdr:to>
      <xdr:col>9</xdr:col>
      <xdr:colOff>447675</xdr:colOff>
      <xdr:row>22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73819</xdr:colOff>
      <xdr:row>3</xdr:row>
      <xdr:rowOff>152399</xdr:rowOff>
    </xdr:from>
    <xdr:to>
      <xdr:col>19</xdr:col>
      <xdr:colOff>581025</xdr:colOff>
      <xdr:row>22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276225</xdr:colOff>
      <xdr:row>22</xdr:row>
      <xdr:rowOff>166686</xdr:rowOff>
    </xdr:from>
    <xdr:to>
      <xdr:col>9</xdr:col>
      <xdr:colOff>447675</xdr:colOff>
      <xdr:row>41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0</xdr:row>
      <xdr:rowOff>95250</xdr:rowOff>
    </xdr:from>
    <xdr:to>
      <xdr:col>11</xdr:col>
      <xdr:colOff>57150</xdr:colOff>
      <xdr:row>3</xdr:row>
      <xdr:rowOff>0</xdr:rowOff>
    </xdr:to>
    <xdr:grpSp>
      <xdr:nvGrpSpPr>
        <xdr:cNvPr id="5" name="Group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pSpPr/>
      </xdr:nvGrpSpPr>
      <xdr:grpSpPr>
        <a:xfrm>
          <a:off x="4267200" y="95250"/>
          <a:ext cx="2495550" cy="476250"/>
          <a:chOff x="381000" y="200025"/>
          <a:chExt cx="2495550" cy="476250"/>
        </a:xfrm>
      </xdr:grpSpPr>
      <xdr:sp macro="" textlink="">
        <xdr:nvSpPr>
          <xdr:cNvPr id="6" name="Rectangle: Rounded Corners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20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  <xdr:twoCellAnchor>
    <xdr:from>
      <xdr:col>10</xdr:col>
      <xdr:colOff>76200</xdr:colOff>
      <xdr:row>22</xdr:row>
      <xdr:rowOff>171449</xdr:rowOff>
    </xdr:from>
    <xdr:to>
      <xdr:col>19</xdr:col>
      <xdr:colOff>590550</xdr:colOff>
      <xdr:row>41</xdr:row>
      <xdr:rowOff>104774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9523</xdr:colOff>
      <xdr:row>42</xdr:row>
      <xdr:rowOff>57150</xdr:rowOff>
    </xdr:from>
    <xdr:to>
      <xdr:col>16</xdr:col>
      <xdr:colOff>142874</xdr:colOff>
      <xdr:row>61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28574</xdr:colOff>
      <xdr:row>61</xdr:row>
      <xdr:rowOff>114299</xdr:rowOff>
    </xdr:from>
    <xdr:to>
      <xdr:col>16</xdr:col>
      <xdr:colOff>133349</xdr:colOff>
      <xdr:row>77</xdr:row>
      <xdr:rowOff>104774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3</xdr:row>
      <xdr:rowOff>133350</xdr:rowOff>
    </xdr:from>
    <xdr:to>
      <xdr:col>9</xdr:col>
      <xdr:colOff>571500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235743</xdr:colOff>
      <xdr:row>3</xdr:row>
      <xdr:rowOff>114298</xdr:rowOff>
    </xdr:from>
    <xdr:to>
      <xdr:col>20</xdr:col>
      <xdr:colOff>85725</xdr:colOff>
      <xdr:row>21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180974</xdr:colOff>
      <xdr:row>22</xdr:row>
      <xdr:rowOff>166686</xdr:rowOff>
    </xdr:from>
    <xdr:to>
      <xdr:col>9</xdr:col>
      <xdr:colOff>571500</xdr:colOff>
      <xdr:row>41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600075</xdr:colOff>
      <xdr:row>0</xdr:row>
      <xdr:rowOff>85725</xdr:rowOff>
    </xdr:from>
    <xdr:to>
      <xdr:col>11</xdr:col>
      <xdr:colOff>47625</xdr:colOff>
      <xdr:row>2</xdr:row>
      <xdr:rowOff>180975</xdr:rowOff>
    </xdr:to>
    <xdr:grpSp>
      <xdr:nvGrpSpPr>
        <xdr:cNvPr id="6" name="Group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pSpPr/>
      </xdr:nvGrpSpPr>
      <xdr:grpSpPr>
        <a:xfrm>
          <a:off x="4257675" y="85725"/>
          <a:ext cx="2495550" cy="476250"/>
          <a:chOff x="381000" y="200025"/>
          <a:chExt cx="2495550" cy="476250"/>
        </a:xfrm>
      </xdr:grpSpPr>
      <xdr:sp macro="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20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  <xdr:twoCellAnchor>
    <xdr:from>
      <xdr:col>10</xdr:col>
      <xdr:colOff>276224</xdr:colOff>
      <xdr:row>22</xdr:row>
      <xdr:rowOff>171449</xdr:rowOff>
    </xdr:from>
    <xdr:to>
      <xdr:col>20</xdr:col>
      <xdr:colOff>133349</xdr:colOff>
      <xdr:row>41</xdr:row>
      <xdr:rowOff>9524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200024</xdr:colOff>
      <xdr:row>3</xdr:row>
      <xdr:rowOff>38099</xdr:rowOff>
    </xdr:from>
    <xdr:to>
      <xdr:col>19</xdr:col>
      <xdr:colOff>552449</xdr:colOff>
      <xdr:row>21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123824</xdr:colOff>
      <xdr:row>3</xdr:row>
      <xdr:rowOff>83343</xdr:rowOff>
    </xdr:from>
    <xdr:to>
      <xdr:col>9</xdr:col>
      <xdr:colOff>590549</xdr:colOff>
      <xdr:row>22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552450</xdr:colOff>
      <xdr:row>0</xdr:row>
      <xdr:rowOff>104775</xdr:rowOff>
    </xdr:from>
    <xdr:to>
      <xdr:col>12</xdr:col>
      <xdr:colOff>0</xdr:colOff>
      <xdr:row>3</xdr:row>
      <xdr:rowOff>9525</xdr:rowOff>
    </xdr:to>
    <xdr:grpSp>
      <xdr:nvGrpSpPr>
        <xdr:cNvPr id="5" name="Group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4819650" y="104775"/>
          <a:ext cx="2495550" cy="476250"/>
          <a:chOff x="381000" y="200025"/>
          <a:chExt cx="2495550" cy="476250"/>
        </a:xfrm>
      </xdr:grpSpPr>
      <xdr:sp macro="" textlink="">
        <xdr:nvSpPr>
          <xdr:cNvPr id="6" name="Rectangle: Rounded Corners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20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  <xdr:twoCellAnchor>
    <xdr:from>
      <xdr:col>5</xdr:col>
      <xdr:colOff>438150</xdr:colOff>
      <xdr:row>23</xdr:row>
      <xdr:rowOff>0</xdr:rowOff>
    </xdr:from>
    <xdr:to>
      <xdr:col>14</xdr:col>
      <xdr:colOff>571500</xdr:colOff>
      <xdr:row>40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0</xdr:col>
      <xdr:colOff>2124075</xdr:colOff>
      <xdr:row>2</xdr:row>
      <xdr:rowOff>104775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pSpPr/>
      </xdr:nvGrpSpPr>
      <xdr:grpSpPr>
        <a:xfrm>
          <a:off x="133350" y="104775"/>
          <a:ext cx="1990725" cy="381000"/>
          <a:chOff x="381000" y="200025"/>
          <a:chExt cx="2495550" cy="476250"/>
        </a:xfrm>
      </xdr:grpSpPr>
      <xdr:sp macro="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000-000008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6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323851</xdr:colOff>
      <xdr:row>0</xdr:row>
      <xdr:rowOff>19050</xdr:rowOff>
    </xdr:from>
    <xdr:to>
      <xdr:col>0</xdr:col>
      <xdr:colOff>2171701</xdr:colOff>
      <xdr:row>1</xdr:row>
      <xdr:rowOff>171450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323851" y="19050"/>
          <a:ext cx="1847850" cy="345168"/>
          <a:chOff x="381000" y="200025"/>
          <a:chExt cx="2495550" cy="47625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6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9525</xdr:rowOff>
        </xdr:from>
        <xdr:to>
          <xdr:col>12</xdr:col>
          <xdr:colOff>200025</xdr:colOff>
          <xdr:row>8</xdr:row>
          <xdr:rowOff>0</xdr:rowOff>
        </xdr:to>
        <xdr:sp macro="" textlink="">
          <xdr:nvSpPr>
            <xdr:cNvPr id="15361" name="Drop Dow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2</xdr:col>
          <xdr:colOff>628650</xdr:colOff>
          <xdr:row>6</xdr:row>
          <xdr:rowOff>0</xdr:rowOff>
        </xdr:to>
        <xdr:sp macro="" textlink="">
          <xdr:nvSpPr>
            <xdr:cNvPr id="15362" name="Drop Dow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9525</xdr:rowOff>
        </xdr:from>
        <xdr:to>
          <xdr:col>13</xdr:col>
          <xdr:colOff>57150</xdr:colOff>
          <xdr:row>8</xdr:row>
          <xdr:rowOff>0</xdr:rowOff>
        </xdr:to>
        <xdr:sp macro="" textlink="">
          <xdr:nvSpPr>
            <xdr:cNvPr id="15363" name="Drop Down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1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2</xdr:col>
          <xdr:colOff>647700</xdr:colOff>
          <xdr:row>6</xdr:row>
          <xdr:rowOff>0</xdr:rowOff>
        </xdr:to>
        <xdr:sp macro="" textlink="">
          <xdr:nvSpPr>
            <xdr:cNvPr id="15364" name="Drop Down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1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9525</xdr:rowOff>
        </xdr:from>
        <xdr:to>
          <xdr:col>13</xdr:col>
          <xdr:colOff>57150</xdr:colOff>
          <xdr:row>8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2</xdr:col>
          <xdr:colOff>647700</xdr:colOff>
          <xdr:row>6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9525</xdr:rowOff>
        </xdr:from>
        <xdr:to>
          <xdr:col>13</xdr:col>
          <xdr:colOff>38100</xdr:colOff>
          <xdr:row>8</xdr:row>
          <xdr:rowOff>19050</xdr:rowOff>
        </xdr:to>
        <xdr:sp macro="" textlink="">
          <xdr:nvSpPr>
            <xdr:cNvPr id="56321" name="Drop Down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03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2</xdr:col>
          <xdr:colOff>628650</xdr:colOff>
          <xdr:row>6</xdr:row>
          <xdr:rowOff>0</xdr:rowOff>
        </xdr:to>
        <xdr:sp macro="" textlink="">
          <xdr:nvSpPr>
            <xdr:cNvPr id="56322" name="Drop Down 2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00000000-0008-0000-0300-00000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9525</xdr:rowOff>
        </xdr:from>
        <xdr:to>
          <xdr:col>13</xdr:col>
          <xdr:colOff>38100</xdr:colOff>
          <xdr:row>8</xdr:row>
          <xdr:rowOff>19050</xdr:rowOff>
        </xdr:to>
        <xdr:sp macro="" textlink="">
          <xdr:nvSpPr>
            <xdr:cNvPr id="43009" name="Drop Down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4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2</xdr:col>
          <xdr:colOff>628650</xdr:colOff>
          <xdr:row>6</xdr:row>
          <xdr:rowOff>0</xdr:rowOff>
        </xdr:to>
        <xdr:sp macro="" textlink="">
          <xdr:nvSpPr>
            <xdr:cNvPr id="43010" name="Drop Down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04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9525</xdr:rowOff>
        </xdr:from>
        <xdr:to>
          <xdr:col>13</xdr:col>
          <xdr:colOff>38100</xdr:colOff>
          <xdr:row>8</xdr:row>
          <xdr:rowOff>19050</xdr:rowOff>
        </xdr:to>
        <xdr:sp macro="" textlink="">
          <xdr:nvSpPr>
            <xdr:cNvPr id="44033" name="Drop Down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5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2</xdr:col>
          <xdr:colOff>628650</xdr:colOff>
          <xdr:row>6</xdr:row>
          <xdr:rowOff>0</xdr:rowOff>
        </xdr:to>
        <xdr:sp macro="" textlink="">
          <xdr:nvSpPr>
            <xdr:cNvPr id="44034" name="Drop Down 2" hidden="1">
              <a:extLst>
                <a:ext uri="{63B3BB69-23CF-44E3-9099-C40C66FF867C}">
                  <a14:compatExt spid="_x0000_s44034"/>
                </a:ext>
                <a:ext uri="{FF2B5EF4-FFF2-40B4-BE49-F238E27FC236}">
                  <a16:creationId xmlns:a16="http://schemas.microsoft.com/office/drawing/2014/main" id="{00000000-0008-0000-0500-000002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9525</xdr:rowOff>
        </xdr:from>
        <xdr:to>
          <xdr:col>12</xdr:col>
          <xdr:colOff>200025</xdr:colOff>
          <xdr:row>8</xdr:row>
          <xdr:rowOff>19050</xdr:rowOff>
        </xdr:to>
        <xdr:sp macro="" textlink="">
          <xdr:nvSpPr>
            <xdr:cNvPr id="12289" name="Drop Dow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6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3</xdr:col>
          <xdr:colOff>733425</xdr:colOff>
          <xdr:row>6</xdr:row>
          <xdr:rowOff>0</xdr:rowOff>
        </xdr:to>
        <xdr:sp macro="" textlink="">
          <xdr:nvSpPr>
            <xdr:cNvPr id="12290" name="Drop Dow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6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9525</xdr:rowOff>
        </xdr:from>
        <xdr:to>
          <xdr:col>13</xdr:col>
          <xdr:colOff>57150</xdr:colOff>
          <xdr:row>8</xdr:row>
          <xdr:rowOff>9525</xdr:rowOff>
        </xdr:to>
        <xdr:sp macro="" textlink="">
          <xdr:nvSpPr>
            <xdr:cNvPr id="12291" name="Drop Dow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6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3</xdr:col>
          <xdr:colOff>752475</xdr:colOff>
          <xdr:row>6</xdr:row>
          <xdr:rowOff>0</xdr:rowOff>
        </xdr:to>
        <xdr:sp macro="" textlink="">
          <xdr:nvSpPr>
            <xdr:cNvPr id="12292" name="Drop Dow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6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9525</xdr:rowOff>
        </xdr:from>
        <xdr:to>
          <xdr:col>12</xdr:col>
          <xdr:colOff>200025</xdr:colOff>
          <xdr:row>8</xdr:row>
          <xdr:rowOff>19050</xdr:rowOff>
        </xdr:to>
        <xdr:sp macro="" textlink="">
          <xdr:nvSpPr>
            <xdr:cNvPr id="31745" name="Drop Down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7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2</xdr:col>
          <xdr:colOff>628650</xdr:colOff>
          <xdr:row>6</xdr:row>
          <xdr:rowOff>0</xdr:rowOff>
        </xdr:to>
        <xdr:sp macro="" textlink="">
          <xdr:nvSpPr>
            <xdr:cNvPr id="31746" name="Drop Down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7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9525</xdr:rowOff>
        </xdr:from>
        <xdr:to>
          <xdr:col>13</xdr:col>
          <xdr:colOff>57150</xdr:colOff>
          <xdr:row>8</xdr:row>
          <xdr:rowOff>9525</xdr:rowOff>
        </xdr:to>
        <xdr:sp macro="" textlink="">
          <xdr:nvSpPr>
            <xdr:cNvPr id="31747" name="Drop Down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7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2</xdr:col>
          <xdr:colOff>647700</xdr:colOff>
          <xdr:row>6</xdr:row>
          <xdr:rowOff>0</xdr:rowOff>
        </xdr:to>
        <xdr:sp macro="" textlink="">
          <xdr:nvSpPr>
            <xdr:cNvPr id="31748" name="Drop Down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7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9525</xdr:rowOff>
    </xdr:from>
    <xdr:to>
      <xdr:col>1</xdr:col>
      <xdr:colOff>2257425</xdr:colOff>
      <xdr:row>2</xdr:row>
      <xdr:rowOff>104775</xdr:rowOff>
    </xdr:to>
    <xdr:grpSp>
      <xdr:nvGrpSpPr>
        <xdr:cNvPr id="7" name="Group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pSpPr/>
      </xdr:nvGrpSpPr>
      <xdr:grpSpPr>
        <a:xfrm>
          <a:off x="381000" y="9525"/>
          <a:ext cx="2486025" cy="476250"/>
          <a:chOff x="381000" y="200025"/>
          <a:chExt cx="2495550" cy="47625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381000" y="200025"/>
            <a:ext cx="2495550" cy="47625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 txBox="1"/>
        </xdr:nvSpPr>
        <xdr:spPr>
          <a:xfrm>
            <a:off x="714375" y="238126"/>
            <a:ext cx="212407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2000" b="1">
                <a:solidFill>
                  <a:schemeClr val="bg1"/>
                </a:solidFill>
              </a:rPr>
              <a:t>SWITCHBOARD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.Chalwe/Documents/My%20Documents/Documents/Additional%20capital%20request%2031%20Decmber%202011%20updated%2018%20June%202012/Zambia%2014%20branches%20New%20assum%2080T1%2020T2.xlsm" TargetMode="External"/><Relationship Id="rId1" Type="http://schemas.openxmlformats.org/officeDocument/2006/relationships/externalLinkPath" Target="/Users/A.Chalwe/Documents/My%20Documents/Documents/Additional%20capital%20request%2031%20Decmber%202011%20updated%2018%20June%202012/Zambia%2014%20branches%20New%20assum%2080T1%2020T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ckim%20Chalwe%20Jr/Google%20Drive/ALC/Zambian%20Clients/Banking%20Sector%20Reviews/2021-Q1/Bank%20Comparatives%20Emmanuel%20Copy.xlsx" TargetMode="External"/><Relationship Id="rId1" Type="http://schemas.openxmlformats.org/officeDocument/2006/relationships/externalLinkPath" Target="/Users/Ackim%20Chalwe%20Jr/Google%20Drive/ALC/Zambian%20Clients/Banking%20Sector%20Reviews/2021-Q1/Bank%20Comparatives%20Emmanuel%20Cop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Lenovo%20S9/Documents/Non%20banks%20Q4%202023/2023%20Q4%20Non-Banks.xlsx" TargetMode="External"/><Relationship Id="rId1" Type="http://schemas.openxmlformats.org/officeDocument/2006/relationships/externalLinkPath" Target="/Users/Lenovo%20S9/Documents/Non%20banks%20Q4%202023/2023%20Q4%20Non-Ban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llar"/>
      <sheetName val="Index"/>
      <sheetName val="Instructions"/>
      <sheetName val="Scenarios and assumptions"/>
      <sheetName val="Forecast model"/>
      <sheetName val="CApital"/>
      <sheetName val="Advances"/>
      <sheetName val="Deposits"/>
      <sheetName val=" NIR breakdown"/>
      <sheetName val="DCF"/>
      <sheetName val="NPV and IRR"/>
      <sheetName val="Graphs"/>
      <sheetName val="PAGES NOT USED"/>
      <sheetName val="Deal scenarios"/>
      <sheetName val="Pres USD"/>
      <sheetName val="Sensitivity"/>
      <sheetName val="New rates"/>
      <sheetName val="ZAM numbers"/>
      <sheetName val="ZAM workings"/>
      <sheetName val="ZAM Advances"/>
      <sheetName val="ZAMAdvances"/>
      <sheetName val="ZAMDeposits "/>
    </sheetNames>
    <sheetDataSet>
      <sheetData sheetId="0"/>
      <sheetData sheetId="1"/>
      <sheetData sheetId="2"/>
      <sheetData sheetId="3">
        <row r="23">
          <cell r="M23">
            <v>0.35</v>
          </cell>
        </row>
        <row r="36">
          <cell r="B36" t="str">
            <v>Target dividend payout ratio</v>
          </cell>
          <cell r="C36">
            <v>0.34999990463256836</v>
          </cell>
          <cell r="H36">
            <v>0</v>
          </cell>
          <cell r="K36">
            <v>0</v>
          </cell>
        </row>
      </sheetData>
      <sheetData sheetId="4"/>
      <sheetData sheetId="5">
        <row r="49">
          <cell r="I49">
            <v>86257500000</v>
          </cell>
        </row>
      </sheetData>
      <sheetData sheetId="6">
        <row r="4">
          <cell r="B4" t="str">
            <v>Overdrafts and Term Loans</v>
          </cell>
        </row>
      </sheetData>
      <sheetData sheetId="7">
        <row r="15">
          <cell r="D15">
            <v>15031.18419102726</v>
          </cell>
        </row>
      </sheetData>
      <sheetData sheetId="8">
        <row r="12">
          <cell r="C12">
            <v>24134.267376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witchboard"/>
      <sheetName val="Dashboard"/>
      <sheetName val="Front Page"/>
      <sheetName val="FCB"/>
      <sheetName val="Cavmont workings"/>
      <sheetName val="IS, BS &amp; Ratios Dec 20base"/>
      <sheetName val="IS, Q March 21"/>
      <sheetName val="IS, BS &amp; Ratios Dec 19"/>
      <sheetName val="IS, BS &amp; Ratios Dec 20."/>
      <sheetName val="IS, BS &amp; Ratios Mar 21"/>
      <sheetName val="1st Quarter results"/>
      <sheetName val="Balance sheet graphs"/>
      <sheetName val="Income statement graphs"/>
      <sheetName val="Efficiency ratios"/>
      <sheetName val="Credit performance"/>
      <sheetName val="Loans and deposits yield and co"/>
      <sheetName val="Capital performance"/>
      <sheetName val="Larger banks"/>
      <sheetName val="Smaller banks"/>
      <sheetName val="IS, Q Dec 20"/>
      <sheetName val="1st quarter results data"/>
      <sheetName val="Mkt Share graphdata-Larger Bank"/>
      <sheetName val="Mkt Share graphdata-Smaller ban"/>
      <sheetName val="Other data "/>
      <sheetName val="Drivers"/>
      <sheetName val="Impairments charges"/>
      <sheetName val="Bank Comparatives Emmanuel Co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1">
          <cell r="D31">
            <v>0</v>
          </cell>
        </row>
        <row r="44">
          <cell r="K44">
            <v>0</v>
          </cell>
        </row>
      </sheetData>
      <sheetData sheetId="7" refreshError="1"/>
      <sheetData sheetId="8" refreshError="1">
        <row r="31">
          <cell r="D31">
            <v>0</v>
          </cell>
        </row>
        <row r="44">
          <cell r="K44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witchboard"/>
      <sheetName val="Q1"/>
      <sheetName val="Q2"/>
      <sheetName val="Previous Quarter"/>
      <sheetName val="Q3"/>
      <sheetName val="Q4"/>
      <sheetName val="YTD"/>
      <sheetName val="Data"/>
      <sheetName val="Overview"/>
      <sheetName val="Balance Sheet"/>
      <sheetName val="Income Statement"/>
      <sheetName val="Efficiency"/>
      <sheetName val="Credit"/>
      <sheetName val="Capital"/>
      <sheetName val="Loans &amp; Deposits Yield"/>
      <sheetName val="2023 Q4 Data"/>
      <sheetName val="2023 YTD"/>
    </sheetNames>
    <sheetDataSet>
      <sheetData sheetId="0"/>
      <sheetData sheetId="1"/>
      <sheetData sheetId="2"/>
      <sheetData sheetId="3">
        <row r="47">
          <cell r="M47">
            <v>1402919</v>
          </cell>
        </row>
        <row r="49">
          <cell r="M49">
            <v>1633381</v>
          </cell>
        </row>
        <row r="51">
          <cell r="M51">
            <v>8394496</v>
          </cell>
        </row>
        <row r="52">
          <cell r="M52">
            <v>-722074</v>
          </cell>
        </row>
        <row r="56">
          <cell r="M56">
            <v>489745</v>
          </cell>
        </row>
        <row r="57">
          <cell r="M57">
            <v>647629</v>
          </cell>
        </row>
        <row r="58">
          <cell r="M58">
            <v>12426678</v>
          </cell>
        </row>
        <row r="61">
          <cell r="M61">
            <v>3626566</v>
          </cell>
        </row>
        <row r="62">
          <cell r="M62">
            <v>1849574</v>
          </cell>
        </row>
        <row r="68">
          <cell r="M68">
            <v>9399665</v>
          </cell>
        </row>
        <row r="69">
          <cell r="M69">
            <v>0</v>
          </cell>
        </row>
        <row r="77">
          <cell r="M77">
            <v>0</v>
          </cell>
        </row>
        <row r="81">
          <cell r="M81">
            <v>12426678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 t="e">
            <v>#REF!</v>
          </cell>
        </row>
        <row r="87">
          <cell r="M87" t="e">
            <v>#REF!</v>
          </cell>
        </row>
        <row r="88">
          <cell r="M88" t="e">
            <v>#REF!</v>
          </cell>
        </row>
        <row r="89">
          <cell r="M89" t="e">
            <v>#REF!</v>
          </cell>
        </row>
        <row r="90">
          <cell r="M90" t="e">
            <v>#REF!</v>
          </cell>
        </row>
        <row r="94">
          <cell r="M94" t="e">
            <v>#REF!</v>
          </cell>
        </row>
        <row r="98">
          <cell r="M98">
            <v>8686974</v>
          </cell>
        </row>
        <row r="101">
          <cell r="M101">
            <v>2834826</v>
          </cell>
        </row>
        <row r="102">
          <cell r="M102">
            <v>43461</v>
          </cell>
        </row>
        <row r="103">
          <cell r="M103">
            <v>2878287</v>
          </cell>
        </row>
        <row r="107">
          <cell r="M107" t="e">
            <v>#REF!</v>
          </cell>
        </row>
        <row r="108">
          <cell r="M108">
            <v>0</v>
          </cell>
        </row>
        <row r="109">
          <cell r="M109" t="e">
            <v>#REF!</v>
          </cell>
        </row>
        <row r="111">
          <cell r="M111" t="e">
            <v>#REF!</v>
          </cell>
        </row>
        <row r="114">
          <cell r="M114" t="e">
            <v>#REF!</v>
          </cell>
        </row>
        <row r="115">
          <cell r="M115" t="e">
            <v>#REF!</v>
          </cell>
        </row>
        <row r="116">
          <cell r="M116" t="e">
            <v>#REF!</v>
          </cell>
        </row>
        <row r="120">
          <cell r="M120" t="e">
            <v>#REF!</v>
          </cell>
        </row>
        <row r="121">
          <cell r="M121" t="e">
            <v>#REF!</v>
          </cell>
        </row>
        <row r="122">
          <cell r="M122" t="e">
            <v>#REF!</v>
          </cell>
        </row>
        <row r="123">
          <cell r="M123">
            <v>0.33133367269200992</v>
          </cell>
        </row>
        <row r="125">
          <cell r="M125">
            <v>0.32633066474010397</v>
          </cell>
        </row>
        <row r="126">
          <cell r="M126">
            <v>5.0030079519059224E-3</v>
          </cell>
        </row>
        <row r="127">
          <cell r="M127">
            <v>0.33133367269200992</v>
          </cell>
        </row>
      </sheetData>
      <sheetData sheetId="4"/>
      <sheetData sheetId="5">
        <row r="43">
          <cell r="M43">
            <v>234620</v>
          </cell>
        </row>
      </sheetData>
      <sheetData sheetId="6"/>
      <sheetData sheetId="7">
        <row r="3">
          <cell r="B3">
            <v>45291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Zeros="0" tabSelected="1" workbookViewId="0"/>
  </sheetViews>
  <sheetFormatPr defaultColWidth="9.140625" defaultRowHeight="15" x14ac:dyDescent="0.25"/>
  <cols>
    <col min="1" max="16384" width="9.140625" style="174"/>
  </cols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E21"/>
  <sheetViews>
    <sheetView showGridLines="0" workbookViewId="0"/>
  </sheetViews>
  <sheetFormatPr defaultRowHeight="15" x14ac:dyDescent="0.25"/>
  <cols>
    <col min="2" max="2" width="79.28515625" bestFit="1" customWidth="1"/>
    <col min="3" max="3" width="24.140625" bestFit="1" customWidth="1"/>
    <col min="4" max="4" width="25.42578125" hidden="1" customWidth="1"/>
    <col min="5" max="5" width="15.140625" hidden="1" customWidth="1"/>
  </cols>
  <sheetData>
    <row r="3" spans="2:5" ht="21" x14ac:dyDescent="0.35">
      <c r="C3" s="193" t="s">
        <v>84</v>
      </c>
      <c r="D3" s="193" t="s">
        <v>144</v>
      </c>
      <c r="E3" s="193"/>
    </row>
    <row r="4" spans="2:5" ht="21.75" thickBot="1" x14ac:dyDescent="0.4">
      <c r="B4" s="180" t="s">
        <v>147</v>
      </c>
      <c r="C4" s="194" t="str">
        <f>Data!B1&amp;" "&amp;Data!B2</f>
        <v>2026 Q2</v>
      </c>
      <c r="D4" s="194" t="str">
        <f>Data!C1&amp;" "&amp;Data!C2</f>
        <v>2025 Q1</v>
      </c>
      <c r="E4" s="194" t="s">
        <v>86</v>
      </c>
    </row>
    <row r="5" spans="2:5" ht="21.75" thickTop="1" x14ac:dyDescent="0.35">
      <c r="B5" s="186" t="s">
        <v>30</v>
      </c>
      <c r="C5" s="187">
        <f>IF(Data!$B$2="Q1",'Q1'!M54,IF(Data!$B$2="Q2",'Q2'!M54,IF(Data!$B$2="Q3",'Q3'!M54,'Q4'!M54)))</f>
        <v>18381634</v>
      </c>
      <c r="D5" s="187">
        <f>IF($B$2="Q1",'Previous Quarter'!M54,IF(Data!$B$2="Q2",'Q1'!M54,IF(Data!$B$2="Q3",#REF!,#REF!)))</f>
        <v>17750615</v>
      </c>
      <c r="E5" s="190">
        <f>(C5-D5)/D5</f>
        <v>3.554913449477666E-2</v>
      </c>
    </row>
    <row r="6" spans="2:5" ht="21" x14ac:dyDescent="0.35">
      <c r="B6" s="189" t="s">
        <v>132</v>
      </c>
      <c r="C6" s="187">
        <f>IF(Data!$B$2="Q1",'Q1'!M29,IF(Data!$B$2="Q2",'Q2'!M29,IF(Data!$B$2="Q3",'Q3'!M29,'Q4'!M29)))</f>
        <v>908731</v>
      </c>
      <c r="D6" s="187">
        <f>IF($B$2="Q1",'Previous Quarter'!M29,IF(Data!$B$2="Q2",'Q1'!M29,IF(Data!$B$2="Q3",#REF!,#REF!)))</f>
        <v>846664</v>
      </c>
      <c r="E6" s="190">
        <f t="shared" ref="E6:E21" si="0">(C6-D6)/D6</f>
        <v>7.330771120538962E-2</v>
      </c>
    </row>
    <row r="7" spans="2:5" ht="21" x14ac:dyDescent="0.35">
      <c r="B7" s="189" t="s">
        <v>133</v>
      </c>
      <c r="C7" s="187">
        <f>IF(Data!$B$2="Q1",'Q1'!M13,IF(Data!$B$2="Q2",'Q2'!M13,IF(Data!$B$2="Q3",'Q3'!M13,'Q4'!M13)))</f>
        <v>1111747</v>
      </c>
      <c r="D7" s="187">
        <f>IF($B$2="Q1",'Previous Quarter'!M13,IF(Data!$B$2="Q2",'Q1'!M13,IF(Data!$B$2="Q3",#REF!,#REF!)))</f>
        <v>1069794</v>
      </c>
      <c r="E7" s="188">
        <f t="shared" si="0"/>
        <v>3.9215961203745771E-2</v>
      </c>
    </row>
    <row r="8" spans="2:5" ht="21" x14ac:dyDescent="0.35">
      <c r="B8" s="189" t="s">
        <v>145</v>
      </c>
      <c r="C8" s="187">
        <f>IF(Data!$B$2="Q1",'Q1'!M14,IF(Data!$B$2="Q2",'Q2'!M14,IF(Data!$B$2="Q3",'Q3'!M14,'Q4'!M14)))</f>
        <v>1048391</v>
      </c>
      <c r="D8" s="187">
        <f>IF($B$2="Q1",'Previous Quarter'!M14,IF(Data!$B$2="Q2",'Q1'!M14,IF(Data!$B$2="Q3",#REF!,#REF!)))</f>
        <v>998948</v>
      </c>
      <c r="E8" s="190">
        <f t="shared" si="0"/>
        <v>4.9495068812390637E-2</v>
      </c>
    </row>
    <row r="9" spans="2:5" ht="21" x14ac:dyDescent="0.35">
      <c r="B9" s="189" t="s">
        <v>134</v>
      </c>
      <c r="C9" s="187">
        <f>-1*IF(Data!$B$2="Q1",'Q1'!M17,IF(Data!$B$2="Q2",'Q2'!M17,IF(Data!$B$2="Q3",'Q3'!M17,'Q4'!M17)))</f>
        <v>403320</v>
      </c>
      <c r="D9" s="187">
        <f>-1*IF($B$2="Q1",'Previous Quarter'!M17,IF(Data!$B$2="Q2",'Q1'!M17,IF(Data!$B$2="Q3",#REF!,#REF!)))</f>
        <v>385249</v>
      </c>
      <c r="E9" s="188">
        <f t="shared" si="0"/>
        <v>4.6907324873004211E-2</v>
      </c>
    </row>
    <row r="10" spans="2:5" ht="21" x14ac:dyDescent="0.35">
      <c r="B10" s="189" t="s">
        <v>135</v>
      </c>
      <c r="C10" s="187">
        <f>IF(Data!$B$2="Q1",'Q1'!M25,IF(Data!$B$2="Q2",'Q2'!M25,IF(Data!$B$2="Q3",'Q3'!M25,'Q4'!M25)))</f>
        <v>246622</v>
      </c>
      <c r="D10" s="187">
        <f>IF($B$2="Q1",'Previous Quarter'!M25,IF(Data!$B$2="Q2",'Q1'!M25,IF(Data!$B$2="Q3",#REF!,#REF!)))</f>
        <v>217408</v>
      </c>
      <c r="E10" s="190">
        <f t="shared" si="0"/>
        <v>0.13437408007065058</v>
      </c>
    </row>
    <row r="11" spans="2:5" ht="21" x14ac:dyDescent="0.35">
      <c r="B11" s="189" t="s">
        <v>136</v>
      </c>
      <c r="C11" s="187">
        <f>-1*IF(Data!$B$2="Q1",'Q1'!M34,IF(Data!$B$2="Q2",'Q2'!M34,IF(Data!$B$2="Q3",'Q3'!M34,'Q4'!M34)))</f>
        <v>547204</v>
      </c>
      <c r="D11" s="187">
        <f>-1*IF($B$2="Q1",'Previous Quarter'!M34,IF(Data!$B$2="Q2",'Q1'!M34,IF(Data!$B$2="Q3",#REF!,#REF!)))</f>
        <v>536461</v>
      </c>
      <c r="E11" s="188">
        <f t="shared" si="0"/>
        <v>2.002568686260511E-2</v>
      </c>
    </row>
    <row r="12" spans="2:5" ht="21" x14ac:dyDescent="0.35">
      <c r="B12" s="189" t="s">
        <v>137</v>
      </c>
      <c r="C12" s="187">
        <f>IF(Data!$B$2="Q1",'Q1'!M40,IF(Data!$B$2="Q2",'Q2'!M40,IF(Data!$B$2="Q3",'Q3'!M40,'Q4'!M40)))</f>
        <v>276626</v>
      </c>
      <c r="D12" s="187">
        <f>IF($B$2="Q1",'Previous Quarter'!M40,IF(Data!$B$2="Q2",'Q1'!M40,IF(Data!$B$2="Q3",#REF!,#REF!)))</f>
        <v>238116</v>
      </c>
      <c r="E12" s="190">
        <f t="shared" si="0"/>
        <v>0.16172789732735304</v>
      </c>
    </row>
    <row r="13" spans="2:5" ht="21" x14ac:dyDescent="0.35">
      <c r="B13" s="189" t="s">
        <v>142</v>
      </c>
      <c r="C13" s="191">
        <f>IF(Data!$B$2="Q1",'Q1'!M140,IF(Data!$B$2="Q2",'Q2'!M140,IF(Data!$B$2="Q3",'Q3'!M140,'Q4'!M140)))</f>
        <v>0.25822968245608341</v>
      </c>
      <c r="D13" s="191">
        <f>IF($B$2="Q1",'Previous Quarter'!M142,IF(Data!$B$2="Q2",'Q1'!M140,IF(Data!$B$2="Q3",#REF!,#REF!)))</f>
        <v>0.25678191112412951</v>
      </c>
      <c r="E13" s="190">
        <f t="shared" si="0"/>
        <v>5.6381359793448863E-3</v>
      </c>
    </row>
    <row r="14" spans="2:5" ht="21" x14ac:dyDescent="0.35">
      <c r="B14" s="189" t="s">
        <v>143</v>
      </c>
      <c r="C14" s="191">
        <f>IF(Data!$B$2="Q1",'Q1'!M139,IF(Data!$B$2="Q2",'Q2'!M139,IF(Data!$B$2="Q3",'Q3'!M139,'Q4'!M139)))</f>
        <v>0.57295908377475924</v>
      </c>
      <c r="D14" s="191">
        <f>IF($B$2="Q1",'Previous Quarter'!M141,IF(Data!$B$2="Q2",'Q1'!M139,IF(Data!$B$2="Q3",#REF!,#REF!)))</f>
        <v>0.63361734997590546</v>
      </c>
      <c r="E14" s="190">
        <f t="shared" si="0"/>
        <v>-9.5733278458130719E-2</v>
      </c>
    </row>
    <row r="15" spans="2:5" ht="21" x14ac:dyDescent="0.35">
      <c r="B15" s="189" t="s">
        <v>138</v>
      </c>
      <c r="C15" s="187">
        <f>IF(Data!$B$2="Q1",'Q1'!M49,IF(Data!$B$2="Q2",'Q2'!M49,IF(Data!$B$2="Q3",'Q3'!M49,'Q4'!M49)))</f>
        <v>12438335</v>
      </c>
      <c r="D15" s="187">
        <f>IF($B$2="Q1",'Previous Quarter'!M49,IF(Data!$B$2="Q2",'Q1'!M49,IF(Data!$B$2="Q3",#REF!,#REF!)))</f>
        <v>11946280</v>
      </c>
      <c r="E15" s="190">
        <f t="shared" si="0"/>
        <v>4.1188972634158917E-2</v>
      </c>
    </row>
    <row r="16" spans="2:5" ht="21" x14ac:dyDescent="0.35">
      <c r="B16" s="189" t="s">
        <v>139</v>
      </c>
      <c r="C16" s="187">
        <f>-1*IF(Data!$B$2="Q1",'Q1'!M50,IF(Data!$B$2="Q2",'Q2'!M50,IF(Data!$B$2="Q3",'Q3'!M50,'Q4'!M50)))</f>
        <v>103136</v>
      </c>
      <c r="D16" s="187">
        <f>-1*IF($B$2="Q1",'Previous Quarter'!M50,IF(Data!$B$2="Q2",'Q1'!M50,IF(Data!$B$2="Q3",#REF!,#REF!)))</f>
        <v>91262</v>
      </c>
      <c r="E16" s="190">
        <f t="shared" si="0"/>
        <v>0.13010891718349368</v>
      </c>
    </row>
    <row r="17" spans="2:5" ht="21" x14ac:dyDescent="0.35">
      <c r="B17" s="189" t="s">
        <v>140</v>
      </c>
      <c r="C17" s="187">
        <f>IF(Data!$B$2="Q1",'Q1'!M51,IF(Data!$B$2="Q2",'Q2'!M51,IF(Data!$B$2="Q3",'Q3'!M51,'Q4'!M51)))</f>
        <v>12335199</v>
      </c>
      <c r="D17" s="187" t="e">
        <f>IF($B$2="Q1",'Previous Quarter'!#REF!,IF(Data!$B$2="Q2",'Q1'!#REF!,IF(Data!$B$2="Q3",#REF!,#REF!)))</f>
        <v>#REF!</v>
      </c>
      <c r="E17" s="190" t="e">
        <f t="shared" si="0"/>
        <v>#REF!</v>
      </c>
    </row>
    <row r="18" spans="2:5" ht="21" x14ac:dyDescent="0.35">
      <c r="B18" s="189" t="s">
        <v>141</v>
      </c>
      <c r="C18" s="187">
        <f>IF(Data!$B$2="Q1",'Q1'!M58,IF(Data!$B$2="Q2",'Q2'!M57,IF(Data!$B$2="Q3",'Q3'!M57,'Q4'!M57)))</f>
        <v>8228926</v>
      </c>
      <c r="D18" s="187">
        <f>IF($B$2="Q1",'Previous Quarter'!M58,IF(Data!$B$2="Q2",'Q1'!M58,IF(Data!$B$2="Q3",#REF!,#REF!)))</f>
        <v>8242460</v>
      </c>
      <c r="E18" s="188">
        <f t="shared" si="0"/>
        <v>-1.6419855237392721E-3</v>
      </c>
    </row>
    <row r="19" spans="2:5" ht="21" x14ac:dyDescent="0.35">
      <c r="B19" s="189" t="s">
        <v>146</v>
      </c>
      <c r="C19" s="192">
        <f>IF(Data!$B$2="Q1",'Q1'!M145,IF(Data!$B$2="Q2",'Q2'!M145,IF(Data!$B$2="Q3",'Q3'!M145,'Q4'!M145)))</f>
        <v>3.7549455018925921E-3</v>
      </c>
      <c r="D19" s="192">
        <f>IF($B$2="Q1",'Previous Quarter'!M147,IF(Data!$B$2="Q2",'Q1'!M145,IF(Data!$B$2="Q3",#REF!,#REF!)))</f>
        <v>4.6637634797349102E-3</v>
      </c>
      <c r="E19" s="190">
        <f t="shared" si="0"/>
        <v>-0.19486793912069819</v>
      </c>
    </row>
    <row r="20" spans="2:5" ht="21" x14ac:dyDescent="0.35">
      <c r="B20" s="189" t="s">
        <v>151</v>
      </c>
      <c r="C20" s="195">
        <f>IF(Data!$B$2="Q1",'Q1'!M95,IF(Data!$B$2="Q2",'Q2'!M95,IF(Data!$B$2="Q3",'Q3'!M95,'Q4'!M95)))</f>
        <v>16102758</v>
      </c>
      <c r="D20" s="195">
        <f>IF($B$2="Q1",'Previous Quarter'!M97,IF(Data!$B$2="Q2",'Q1'!M95,IF(Data!$B$2="Q3",#REF!,#REF!)))</f>
        <v>14332143</v>
      </c>
      <c r="E20" s="215">
        <f t="shared" si="0"/>
        <v>0.12354153876360291</v>
      </c>
    </row>
    <row r="21" spans="2:5" ht="21" x14ac:dyDescent="0.35">
      <c r="B21" s="189" t="s">
        <v>152</v>
      </c>
      <c r="C21" s="192">
        <f>IF(Data!$B$2="Q1",'Q1'!M120,IF(Data!$B$2="Q2",'Q2'!M120,IF(Data!$B$2="Q3",'Q3'!M120,'Q4'!M120)))</f>
        <v>0.31647913978462572</v>
      </c>
      <c r="D21" s="192">
        <f>IF($B$2="Q1",'Previous Quarter'!M122,IF(Data!$B$2="Q2",'Q1'!M120,IF(Data!$B$2="Q3",#REF!,#REF!)))</f>
        <v>0.31993812788499248</v>
      </c>
      <c r="E21" s="196">
        <f t="shared" si="0"/>
        <v>-1.0811428207175615E-2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/>
  </sheetViews>
  <sheetFormatPr defaultRowHeight="15" x14ac:dyDescent="0.25"/>
  <sheetData>
    <row r="1" spans="1:1" x14ac:dyDescent="0.25">
      <c r="A1" t="s">
        <v>163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33"/>
  <sheetViews>
    <sheetView showGridLines="0" zoomScale="70" zoomScaleNormal="70" workbookViewId="0"/>
  </sheetViews>
  <sheetFormatPr defaultRowHeight="15" x14ac:dyDescent="0.25"/>
  <cols>
    <col min="1" max="1" width="35.7109375" customWidth="1"/>
    <col min="2" max="4" width="12" bestFit="1" customWidth="1"/>
    <col min="5" max="5" width="12.5703125" bestFit="1" customWidth="1"/>
    <col min="6" max="6" width="16" bestFit="1" customWidth="1"/>
    <col min="7" max="7" width="13.85546875" bestFit="1" customWidth="1"/>
    <col min="8" max="8" width="12.85546875" customWidth="1"/>
    <col min="9" max="9" width="11.7109375" customWidth="1"/>
    <col min="10" max="11" width="12" bestFit="1" customWidth="1"/>
    <col min="12" max="12" width="12" style="198" bestFit="1" customWidth="1"/>
  </cols>
  <sheetData>
    <row r="2" spans="1:13" x14ac:dyDescent="0.25">
      <c r="B2" t="s">
        <v>65</v>
      </c>
      <c r="C2" t="s">
        <v>66</v>
      </c>
      <c r="D2" t="s">
        <v>67</v>
      </c>
      <c r="E2" t="s">
        <v>83</v>
      </c>
      <c r="F2" t="s">
        <v>82</v>
      </c>
      <c r="G2" t="s">
        <v>68</v>
      </c>
      <c r="H2" t="s">
        <v>69</v>
      </c>
      <c r="I2" t="s">
        <v>161</v>
      </c>
      <c r="J2" t="s">
        <v>70</v>
      </c>
      <c r="K2" t="s">
        <v>71</v>
      </c>
      <c r="L2" s="206" t="s">
        <v>4</v>
      </c>
    </row>
    <row r="3" spans="1:13" x14ac:dyDescent="0.25">
      <c r="L3" s="206"/>
    </row>
    <row r="4" spans="1:13" x14ac:dyDescent="0.25">
      <c r="A4" t="s">
        <v>6</v>
      </c>
      <c r="B4" s="197">
        <f>SUM(B5:B6)</f>
        <v>320202</v>
      </c>
      <c r="C4" s="197">
        <f t="shared" ref="C4:K4" si="0">SUM(C5:C6)</f>
        <v>72597</v>
      </c>
      <c r="D4" s="197">
        <f t="shared" si="0"/>
        <v>36935</v>
      </c>
      <c r="E4" s="197">
        <f t="shared" si="0"/>
        <v>64330</v>
      </c>
      <c r="F4" s="197">
        <f t="shared" si="0"/>
        <v>17806</v>
      </c>
      <c r="G4" s="197">
        <f t="shared" si="0"/>
        <v>118570</v>
      </c>
      <c r="H4" s="197">
        <f t="shared" si="0"/>
        <v>0</v>
      </c>
      <c r="I4" s="197">
        <f t="shared" si="0"/>
        <v>209192</v>
      </c>
      <c r="J4" s="197">
        <f t="shared" si="0"/>
        <v>66033</v>
      </c>
      <c r="K4" s="197">
        <f t="shared" si="0"/>
        <v>206082</v>
      </c>
      <c r="L4" s="207">
        <f>SUM(B4:K4)</f>
        <v>1111747</v>
      </c>
      <c r="M4">
        <f>L4-'Q2'!M13</f>
        <v>0</v>
      </c>
    </row>
    <row r="5" spans="1:13" x14ac:dyDescent="0.25">
      <c r="A5" t="s">
        <v>7</v>
      </c>
      <c r="B5" s="170">
        <f>'Q2'!C14</f>
        <v>319492</v>
      </c>
      <c r="C5" s="170">
        <f>'Q2'!D14</f>
        <v>61506</v>
      </c>
      <c r="D5" s="170">
        <f>'Q2'!E14</f>
        <v>35910</v>
      </c>
      <c r="E5" s="170">
        <f>'Q2'!F14</f>
        <v>60913</v>
      </c>
      <c r="F5" s="170">
        <f>'Q2'!G14</f>
        <v>17806</v>
      </c>
      <c r="G5" s="170">
        <f>'Q2'!H14</f>
        <v>105260</v>
      </c>
      <c r="H5" s="170">
        <f>'Q2'!I14</f>
        <v>0</v>
      </c>
      <c r="I5" s="170">
        <f>'Q2'!J14</f>
        <v>207262</v>
      </c>
      <c r="J5" s="170">
        <f>'Q2'!K14</f>
        <v>66033</v>
      </c>
      <c r="K5" s="170">
        <f>'Q2'!L14</f>
        <v>174209</v>
      </c>
      <c r="L5" s="210">
        <f t="shared" ref="L5:L6" si="1">SUM(B5:K5)</f>
        <v>1048391</v>
      </c>
      <c r="M5">
        <f>L5-'Q2'!M14</f>
        <v>0</v>
      </c>
    </row>
    <row r="6" spans="1:13" x14ac:dyDescent="0.25">
      <c r="A6" t="s">
        <v>8</v>
      </c>
      <c r="B6" s="170">
        <f>'Q2'!C15</f>
        <v>710</v>
      </c>
      <c r="C6" s="170">
        <f>'Q2'!D15</f>
        <v>11091</v>
      </c>
      <c r="D6" s="170">
        <f>'Q2'!E15</f>
        <v>1025</v>
      </c>
      <c r="E6" s="170">
        <f>'Q2'!F15</f>
        <v>3417</v>
      </c>
      <c r="F6" s="170">
        <f>'Q2'!G15</f>
        <v>0</v>
      </c>
      <c r="G6" s="170">
        <f>'Q2'!H15</f>
        <v>13310</v>
      </c>
      <c r="H6" s="170">
        <f>'Q2'!I15</f>
        <v>0</v>
      </c>
      <c r="I6" s="170">
        <f>'Q2'!J15</f>
        <v>1930</v>
      </c>
      <c r="J6" s="170">
        <f>'Q2'!K15</f>
        <v>0</v>
      </c>
      <c r="K6" s="170">
        <f>'Q2'!L15</f>
        <v>31873</v>
      </c>
      <c r="L6" s="210">
        <f t="shared" si="1"/>
        <v>63356</v>
      </c>
      <c r="M6">
        <f>L6-'Q2'!M15</f>
        <v>0</v>
      </c>
    </row>
    <row r="7" spans="1:13" x14ac:dyDescent="0.25">
      <c r="L7" s="206"/>
      <c r="M7">
        <f>L7-'Q2'!M16</f>
        <v>0</v>
      </c>
    </row>
    <row r="8" spans="1:13" x14ac:dyDescent="0.25">
      <c r="A8" t="s">
        <v>9</v>
      </c>
      <c r="B8" s="197">
        <f>SUM(B9:B11)</f>
        <v>-119456</v>
      </c>
      <c r="C8" s="197">
        <f t="shared" ref="C8:K8" si="2">SUM(C9:C11)</f>
        <v>-24739</v>
      </c>
      <c r="D8" s="197">
        <f t="shared" si="2"/>
        <v>-12136</v>
      </c>
      <c r="E8" s="197">
        <f t="shared" si="2"/>
        <v>-42259</v>
      </c>
      <c r="F8" s="197">
        <f t="shared" si="2"/>
        <v>-10928</v>
      </c>
      <c r="G8" s="197">
        <f t="shared" si="2"/>
        <v>-52720</v>
      </c>
      <c r="H8" s="197">
        <f t="shared" si="2"/>
        <v>0</v>
      </c>
      <c r="I8" s="197">
        <f t="shared" si="2"/>
        <v>-36286</v>
      </c>
      <c r="J8" s="197">
        <f t="shared" si="2"/>
        <v>-17769</v>
      </c>
      <c r="K8" s="197">
        <f t="shared" si="2"/>
        <v>-87027</v>
      </c>
      <c r="L8" s="207">
        <f>SUM(B8:K8)</f>
        <v>-403320</v>
      </c>
      <c r="M8">
        <f>L8-'Q2'!M17</f>
        <v>0</v>
      </c>
    </row>
    <row r="9" spans="1:13" x14ac:dyDescent="0.25">
      <c r="A9" t="s">
        <v>10</v>
      </c>
      <c r="B9" s="170">
        <f>'Q2'!C18</f>
        <v>-33768</v>
      </c>
      <c r="C9" s="170">
        <f>'Q2'!D18</f>
        <v>-7413</v>
      </c>
      <c r="D9" s="170">
        <f>'Q2'!E18</f>
        <v>-10120</v>
      </c>
      <c r="E9" s="170">
        <f>'Q2'!F18</f>
        <v>-41513</v>
      </c>
      <c r="F9" s="170">
        <f>'Q2'!G18</f>
        <v>-9676</v>
      </c>
      <c r="G9" s="170">
        <f>'Q2'!H18</f>
        <v>-45589</v>
      </c>
      <c r="H9" s="170">
        <f>'Q2'!I18</f>
        <v>0</v>
      </c>
      <c r="I9" s="170">
        <f>'Q2'!J18</f>
        <v>-36286</v>
      </c>
      <c r="J9" s="170">
        <f>'Q2'!K18</f>
        <v>-291</v>
      </c>
      <c r="K9" s="170">
        <f>'Q2'!L18</f>
        <v>-53394</v>
      </c>
      <c r="L9" s="210">
        <f t="shared" ref="L9:L20" si="3">SUM(B9:K9)</f>
        <v>-238050</v>
      </c>
      <c r="M9">
        <f>L9-'Q2'!M18</f>
        <v>0</v>
      </c>
    </row>
    <row r="10" spans="1:13" x14ac:dyDescent="0.25">
      <c r="A10" s="23" t="s">
        <v>186</v>
      </c>
      <c r="B10" s="170">
        <f>'Q2'!C19</f>
        <v>-85688</v>
      </c>
      <c r="C10" s="170">
        <f>'Q2'!D19</f>
        <v>-16708</v>
      </c>
      <c r="D10" s="170">
        <f>'Q2'!E19</f>
        <v>-2016</v>
      </c>
      <c r="E10" s="170">
        <f>'Q2'!F19</f>
        <v>0</v>
      </c>
      <c r="F10" s="170">
        <f>'Q2'!G19</f>
        <v>-1177</v>
      </c>
      <c r="G10" s="170">
        <f>'Q2'!H19</f>
        <v>-7131</v>
      </c>
      <c r="H10" s="170">
        <f>'Q2'!I19</f>
        <v>0</v>
      </c>
      <c r="I10" s="170">
        <f>'Q2'!J19</f>
        <v>0</v>
      </c>
      <c r="J10" s="170">
        <f>'Q2'!K19</f>
        <v>-11875</v>
      </c>
      <c r="K10" s="170">
        <f>'Q2'!L19</f>
        <v>-33633</v>
      </c>
      <c r="L10" s="210">
        <f t="shared" si="3"/>
        <v>-158228</v>
      </c>
      <c r="M10">
        <f>L10-'Q2'!M19</f>
        <v>0</v>
      </c>
    </row>
    <row r="11" spans="1:13" x14ac:dyDescent="0.25">
      <c r="A11" t="s">
        <v>8</v>
      </c>
      <c r="B11" s="170">
        <f>'Q2'!C20</f>
        <v>0</v>
      </c>
      <c r="C11" s="170">
        <f>'Q2'!D20</f>
        <v>-618</v>
      </c>
      <c r="D11" s="170">
        <f>'Q2'!E20</f>
        <v>0</v>
      </c>
      <c r="E11" s="170">
        <f>'Q2'!F20</f>
        <v>-746</v>
      </c>
      <c r="F11" s="170">
        <f>'Q2'!G20</f>
        <v>-75</v>
      </c>
      <c r="G11" s="170">
        <f>'Q2'!H20</f>
        <v>0</v>
      </c>
      <c r="H11" s="170">
        <f>'Q2'!I20</f>
        <v>0</v>
      </c>
      <c r="I11" s="170">
        <f>'Q2'!J20</f>
        <v>0</v>
      </c>
      <c r="J11" s="170">
        <f>'Q2'!K20</f>
        <v>-5603</v>
      </c>
      <c r="K11" s="170">
        <f>'Q2'!L20</f>
        <v>0</v>
      </c>
      <c r="L11" s="206">
        <f t="shared" si="3"/>
        <v>-7042</v>
      </c>
      <c r="M11">
        <f>L11-'Q2'!M20</f>
        <v>0</v>
      </c>
    </row>
    <row r="12" spans="1:13" x14ac:dyDescent="0.25">
      <c r="A12" s="198" t="s">
        <v>12</v>
      </c>
      <c r="B12" s="199">
        <f>B4+B8</f>
        <v>200746</v>
      </c>
      <c r="C12" s="199">
        <f t="shared" ref="C12:K12" si="4">C4+C8</f>
        <v>47858</v>
      </c>
      <c r="D12" s="199">
        <f t="shared" si="4"/>
        <v>24799</v>
      </c>
      <c r="E12" s="199">
        <f t="shared" si="4"/>
        <v>22071</v>
      </c>
      <c r="F12" s="199">
        <f t="shared" si="4"/>
        <v>6878</v>
      </c>
      <c r="G12" s="199">
        <f t="shared" si="4"/>
        <v>65850</v>
      </c>
      <c r="H12" s="199">
        <f t="shared" si="4"/>
        <v>0</v>
      </c>
      <c r="I12" s="199">
        <f t="shared" si="4"/>
        <v>172906</v>
      </c>
      <c r="J12" s="199">
        <f t="shared" si="4"/>
        <v>48264</v>
      </c>
      <c r="K12" s="199">
        <f t="shared" si="4"/>
        <v>119055</v>
      </c>
      <c r="L12" s="207">
        <f t="shared" si="3"/>
        <v>708427</v>
      </c>
      <c r="M12">
        <f>L12-'Q2'!M21</f>
        <v>0</v>
      </c>
    </row>
    <row r="13" spans="1:13" x14ac:dyDescent="0.25">
      <c r="A13" t="s">
        <v>13</v>
      </c>
      <c r="B13" s="170">
        <f>'Q2'!C22</f>
        <v>516</v>
      </c>
      <c r="C13" s="170">
        <f>'Q2'!D22</f>
        <v>-2144</v>
      </c>
      <c r="D13" s="170">
        <f>'Q2'!E22</f>
        <v>-5213</v>
      </c>
      <c r="E13" s="170">
        <f>'Q2'!F22</f>
        <v>-4904</v>
      </c>
      <c r="F13" s="170">
        <f>'Q2'!G22</f>
        <v>-24139</v>
      </c>
      <c r="G13" s="170">
        <f>'Q2'!H22</f>
        <v>-4990</v>
      </c>
      <c r="H13" s="170">
        <f>'Q2'!I22</f>
        <v>0</v>
      </c>
      <c r="I13" s="170">
        <f>'Q2'!J22</f>
        <v>-1216</v>
      </c>
      <c r="J13" s="170">
        <f>'Q2'!K22</f>
        <v>-3054</v>
      </c>
      <c r="K13" s="170">
        <f>'Q2'!L22</f>
        <v>-1174</v>
      </c>
      <c r="L13" s="210">
        <f t="shared" si="3"/>
        <v>-46318</v>
      </c>
      <c r="M13">
        <f>L13-'Q2'!M22</f>
        <v>0</v>
      </c>
    </row>
    <row r="14" spans="1:13" x14ac:dyDescent="0.25">
      <c r="A14" s="198" t="s">
        <v>14</v>
      </c>
      <c r="B14" s="200">
        <f>B12+B13</f>
        <v>201262</v>
      </c>
      <c r="C14" s="200">
        <f t="shared" ref="C14:K14" si="5">C12+C13</f>
        <v>45714</v>
      </c>
      <c r="D14" s="200">
        <f t="shared" si="5"/>
        <v>19586</v>
      </c>
      <c r="E14" s="200">
        <f t="shared" si="5"/>
        <v>17167</v>
      </c>
      <c r="F14" s="200">
        <f t="shared" si="5"/>
        <v>-17261</v>
      </c>
      <c r="G14" s="200">
        <f t="shared" si="5"/>
        <v>60860</v>
      </c>
      <c r="H14" s="200">
        <f t="shared" si="5"/>
        <v>0</v>
      </c>
      <c r="I14" s="200">
        <f t="shared" si="5"/>
        <v>171690</v>
      </c>
      <c r="J14" s="200">
        <f t="shared" si="5"/>
        <v>45210</v>
      </c>
      <c r="K14" s="200">
        <f t="shared" si="5"/>
        <v>117881</v>
      </c>
      <c r="L14" s="208">
        <f t="shared" si="3"/>
        <v>662109</v>
      </c>
      <c r="M14">
        <f>L14-'Q2'!M23</f>
        <v>0</v>
      </c>
    </row>
    <row r="15" spans="1:13" x14ac:dyDescent="0.25">
      <c r="L15" s="206"/>
      <c r="M15">
        <f>L15-'Q2'!M24</f>
        <v>0</v>
      </c>
    </row>
    <row r="16" spans="1:13" x14ac:dyDescent="0.25">
      <c r="A16" t="s">
        <v>15</v>
      </c>
      <c r="B16" s="197">
        <f t="shared" ref="B16:K16" si="6">SUM(B17:B19)</f>
        <v>29262</v>
      </c>
      <c r="C16" s="197">
        <f t="shared" si="6"/>
        <v>13548</v>
      </c>
      <c r="D16" s="197">
        <f t="shared" si="6"/>
        <v>-356</v>
      </c>
      <c r="E16" s="197">
        <f t="shared" si="6"/>
        <v>66657</v>
      </c>
      <c r="F16" s="197">
        <f t="shared" si="6"/>
        <v>2780</v>
      </c>
      <c r="G16" s="197">
        <f t="shared" si="6"/>
        <v>46440</v>
      </c>
      <c r="H16" s="197">
        <f t="shared" si="6"/>
        <v>0</v>
      </c>
      <c r="I16" s="197">
        <f t="shared" si="6"/>
        <v>43984</v>
      </c>
      <c r="J16" s="197">
        <f t="shared" si="6"/>
        <v>19337</v>
      </c>
      <c r="K16" s="197">
        <f t="shared" si="6"/>
        <v>24970</v>
      </c>
      <c r="L16" s="207">
        <f t="shared" si="3"/>
        <v>246622</v>
      </c>
      <c r="M16">
        <f>L16-'Q2'!M25</f>
        <v>0</v>
      </c>
    </row>
    <row r="17" spans="1:13" x14ac:dyDescent="0.25">
      <c r="A17" s="34" t="s">
        <v>171</v>
      </c>
      <c r="B17" s="170">
        <f>'Q2'!C26</f>
        <v>26778</v>
      </c>
      <c r="C17" s="170">
        <f>'Q2'!D26</f>
        <v>11632</v>
      </c>
      <c r="D17" s="170">
        <f>'Q2'!E26</f>
        <v>946</v>
      </c>
      <c r="E17" s="170">
        <f>'Q2'!F26</f>
        <v>64551</v>
      </c>
      <c r="F17" s="170">
        <f>'Q2'!G26</f>
        <v>2780</v>
      </c>
      <c r="G17" s="170">
        <f>'Q2'!H26</f>
        <v>46491</v>
      </c>
      <c r="H17" s="170">
        <f>'Q2'!I26</f>
        <v>0</v>
      </c>
      <c r="I17" s="170">
        <f>'Q2'!J26</f>
        <v>42916</v>
      </c>
      <c r="J17" s="170">
        <f>'Q2'!K26</f>
        <v>15858</v>
      </c>
      <c r="K17" s="170">
        <f>'Q2'!L26</f>
        <v>19288</v>
      </c>
      <c r="L17" s="210">
        <f t="shared" si="3"/>
        <v>231240</v>
      </c>
      <c r="M17">
        <f>L17-'Q2'!M26</f>
        <v>0</v>
      </c>
    </row>
    <row r="18" spans="1:13" x14ac:dyDescent="0.25">
      <c r="A18" s="34" t="s">
        <v>172</v>
      </c>
      <c r="B18" s="170">
        <f>'Q2'!C27</f>
        <v>761</v>
      </c>
      <c r="C18" s="170">
        <f>'Q2'!D27</f>
        <v>-1312</v>
      </c>
      <c r="D18" s="170">
        <f>'Q2'!E27</f>
        <v>368</v>
      </c>
      <c r="E18" s="170">
        <f>'Q2'!F27</f>
        <v>2010</v>
      </c>
      <c r="F18" s="170">
        <f>'Q2'!G27</f>
        <v>0</v>
      </c>
      <c r="G18" s="170">
        <f>'Q2'!H27</f>
        <v>-51</v>
      </c>
      <c r="H18" s="170">
        <f>'Q2'!I27</f>
        <v>0</v>
      </c>
      <c r="I18" s="170">
        <f>'Q2'!J27</f>
        <v>-597</v>
      </c>
      <c r="J18" s="170">
        <f>'Q2'!K27</f>
        <v>-83</v>
      </c>
      <c r="K18" s="170">
        <f>'Q2'!L27</f>
        <v>0</v>
      </c>
      <c r="L18" s="210">
        <f t="shared" si="3"/>
        <v>1096</v>
      </c>
      <c r="M18">
        <f>L18-'Q2'!M27</f>
        <v>0</v>
      </c>
    </row>
    <row r="19" spans="1:13" x14ac:dyDescent="0.25">
      <c r="A19" s="34" t="s">
        <v>17</v>
      </c>
      <c r="B19" s="170">
        <f>'Q2'!C28</f>
        <v>1723</v>
      </c>
      <c r="C19" s="170">
        <f>'Q2'!D28</f>
        <v>3228</v>
      </c>
      <c r="D19" s="170">
        <f>'Q2'!E28</f>
        <v>-1670</v>
      </c>
      <c r="E19" s="170">
        <f>'Q2'!F28</f>
        <v>96</v>
      </c>
      <c r="F19" s="170">
        <f>'Q2'!G28</f>
        <v>0</v>
      </c>
      <c r="G19" s="170">
        <f>'Q2'!H28</f>
        <v>0</v>
      </c>
      <c r="H19" s="170">
        <f>'Q2'!I28</f>
        <v>0</v>
      </c>
      <c r="I19" s="170">
        <f>'Q2'!J28</f>
        <v>1665</v>
      </c>
      <c r="J19" s="170">
        <f>'Q2'!K28</f>
        <v>3562</v>
      </c>
      <c r="K19" s="170">
        <f>'Q2'!L28</f>
        <v>5682</v>
      </c>
      <c r="L19" s="210">
        <f t="shared" si="3"/>
        <v>14286</v>
      </c>
      <c r="M19">
        <f>L19-'Q2'!M28</f>
        <v>0</v>
      </c>
    </row>
    <row r="20" spans="1:13" x14ac:dyDescent="0.25">
      <c r="A20" s="198" t="s">
        <v>18</v>
      </c>
      <c r="B20" s="201">
        <f t="shared" ref="B20:K20" si="7">B14+B16</f>
        <v>230524</v>
      </c>
      <c r="C20" s="201">
        <f t="shared" si="7"/>
        <v>59262</v>
      </c>
      <c r="D20" s="201">
        <f t="shared" si="7"/>
        <v>19230</v>
      </c>
      <c r="E20" s="201">
        <f t="shared" si="7"/>
        <v>83824</v>
      </c>
      <c r="F20" s="201">
        <f t="shared" si="7"/>
        <v>-14481</v>
      </c>
      <c r="G20" s="201">
        <f t="shared" si="7"/>
        <v>107300</v>
      </c>
      <c r="H20" s="201">
        <f t="shared" si="7"/>
        <v>0</v>
      </c>
      <c r="I20" s="201">
        <f t="shared" si="7"/>
        <v>215674</v>
      </c>
      <c r="J20" s="201">
        <f t="shared" si="7"/>
        <v>64547</v>
      </c>
      <c r="K20" s="201">
        <f t="shared" si="7"/>
        <v>142851</v>
      </c>
      <c r="L20" s="209">
        <f t="shared" si="3"/>
        <v>908731</v>
      </c>
      <c r="M20">
        <f>L20-'Q2'!M29</f>
        <v>0</v>
      </c>
    </row>
    <row r="21" spans="1:13" x14ac:dyDescent="0.25">
      <c r="L21" s="206"/>
      <c r="M21">
        <f>L21-'Q2'!M30</f>
        <v>0</v>
      </c>
    </row>
    <row r="22" spans="1:13" x14ac:dyDescent="0.25">
      <c r="A22" t="s">
        <v>19</v>
      </c>
      <c r="L22" s="206"/>
      <c r="M22">
        <f>L22-'Q2'!M31</f>
        <v>0</v>
      </c>
    </row>
    <row r="23" spans="1:13" x14ac:dyDescent="0.25">
      <c r="A23" t="s">
        <v>20</v>
      </c>
      <c r="B23" s="170">
        <f>'Q2'!C32</f>
        <v>-5590</v>
      </c>
      <c r="C23" s="170">
        <f>'Q2'!D32</f>
        <v>-1978</v>
      </c>
      <c r="D23" s="170">
        <f>'Q2'!E32</f>
        <v>-722</v>
      </c>
      <c r="E23" s="170">
        <f>'Q2'!F32</f>
        <v>-3392</v>
      </c>
      <c r="F23" s="170">
        <f>'Q2'!G32</f>
        <v>-1215</v>
      </c>
      <c r="G23" s="170">
        <f>'Q2'!H32</f>
        <v>-3453</v>
      </c>
      <c r="H23" s="170">
        <f>'Q2'!I32</f>
        <v>0</v>
      </c>
      <c r="I23" s="170">
        <f>'Q2'!J32</f>
        <v>-5907</v>
      </c>
      <c r="J23" s="170">
        <f>'Q2'!K32</f>
        <v>-2649</v>
      </c>
      <c r="K23" s="170">
        <f>'Q2'!L32</f>
        <v>-6737</v>
      </c>
      <c r="L23" s="210">
        <f t="shared" ref="L23:L25" si="8">SUM(B23:K23)</f>
        <v>-31643</v>
      </c>
      <c r="M23">
        <f>L23-'Q2'!M32</f>
        <v>0</v>
      </c>
    </row>
    <row r="24" spans="1:13" x14ac:dyDescent="0.25">
      <c r="A24" t="s">
        <v>21</v>
      </c>
      <c r="B24" s="170">
        <f>'Q2'!C33</f>
        <v>-84146</v>
      </c>
      <c r="C24" s="170">
        <f>'Q2'!D33</f>
        <v>-34846</v>
      </c>
      <c r="D24" s="170">
        <f>'Q2'!E33</f>
        <v>-22327</v>
      </c>
      <c r="E24" s="170">
        <f>'Q2'!F33</f>
        <v>-38050</v>
      </c>
      <c r="F24" s="170">
        <f>'Q2'!G33</f>
        <v>-11937</v>
      </c>
      <c r="G24" s="170">
        <f>'Q2'!H33</f>
        <v>-49401</v>
      </c>
      <c r="H24" s="170">
        <f>'Q2'!I33</f>
        <v>0</v>
      </c>
      <c r="I24" s="170">
        <f>'Q2'!J33</f>
        <v>-125136</v>
      </c>
      <c r="J24" s="170">
        <f>'Q2'!K33</f>
        <v>-46189</v>
      </c>
      <c r="K24" s="170">
        <f>'Q2'!L33</f>
        <v>-103529</v>
      </c>
      <c r="L24" s="210">
        <f t="shared" si="8"/>
        <v>-515561</v>
      </c>
      <c r="M24">
        <f>L24-'Q2'!M33</f>
        <v>0</v>
      </c>
    </row>
    <row r="25" spans="1:13" x14ac:dyDescent="0.25">
      <c r="A25" t="s">
        <v>22</v>
      </c>
      <c r="B25" s="202">
        <f>SUM(B23:B24)</f>
        <v>-89736</v>
      </c>
      <c r="C25" s="202">
        <f t="shared" ref="C25:K25" si="9">SUM(C23:C24)</f>
        <v>-36824</v>
      </c>
      <c r="D25" s="202">
        <f t="shared" si="9"/>
        <v>-23049</v>
      </c>
      <c r="E25" s="202">
        <f t="shared" si="9"/>
        <v>-41442</v>
      </c>
      <c r="F25" s="202">
        <f t="shared" si="9"/>
        <v>-13152</v>
      </c>
      <c r="G25" s="202">
        <f t="shared" si="9"/>
        <v>-52854</v>
      </c>
      <c r="H25" s="202">
        <f t="shared" si="9"/>
        <v>0</v>
      </c>
      <c r="I25" s="202">
        <f t="shared" si="9"/>
        <v>-131043</v>
      </c>
      <c r="J25" s="202">
        <f t="shared" si="9"/>
        <v>-48838</v>
      </c>
      <c r="K25" s="202">
        <f t="shared" si="9"/>
        <v>-110266</v>
      </c>
      <c r="L25" s="209">
        <f t="shared" si="8"/>
        <v>-547204</v>
      </c>
      <c r="M25">
        <f>L25-'Q2'!M34</f>
        <v>0</v>
      </c>
    </row>
    <row r="26" spans="1:13" x14ac:dyDescent="0.25">
      <c r="L26" s="206"/>
      <c r="M26">
        <f>L26-'Q2'!M35</f>
        <v>0</v>
      </c>
    </row>
    <row r="27" spans="1:13" x14ac:dyDescent="0.25">
      <c r="A27" t="s">
        <v>23</v>
      </c>
      <c r="B27" s="202">
        <f>B20+B25</f>
        <v>140788</v>
      </c>
      <c r="C27" s="202">
        <f t="shared" ref="C27:K27" si="10">C20+C25</f>
        <v>22438</v>
      </c>
      <c r="D27" s="202">
        <f t="shared" si="10"/>
        <v>-3819</v>
      </c>
      <c r="E27" s="202">
        <f t="shared" si="10"/>
        <v>42382</v>
      </c>
      <c r="F27" s="202">
        <f t="shared" si="10"/>
        <v>-27633</v>
      </c>
      <c r="G27" s="202">
        <f t="shared" si="10"/>
        <v>54446</v>
      </c>
      <c r="H27" s="202">
        <f t="shared" si="10"/>
        <v>0</v>
      </c>
      <c r="I27" s="202">
        <f t="shared" si="10"/>
        <v>84631</v>
      </c>
      <c r="J27" s="202">
        <f t="shared" si="10"/>
        <v>15709</v>
      </c>
      <c r="K27" s="202">
        <f t="shared" si="10"/>
        <v>32585</v>
      </c>
      <c r="L27" s="209">
        <f t="shared" ref="L27:L31" si="11">SUM(B27:K27)</f>
        <v>361527</v>
      </c>
      <c r="M27">
        <f>L27-'Q2'!M36</f>
        <v>0</v>
      </c>
    </row>
    <row r="28" spans="1:13" x14ac:dyDescent="0.25">
      <c r="A28" t="s">
        <v>24</v>
      </c>
      <c r="B28" s="170">
        <f>'Q2'!C37</f>
        <v>0</v>
      </c>
      <c r="C28" s="170">
        <f>'Q2'!D37</f>
        <v>0</v>
      </c>
      <c r="D28" s="170">
        <f>'Q2'!E37</f>
        <v>0</v>
      </c>
      <c r="E28" s="170">
        <f>'Q2'!F37</f>
        <v>0</v>
      </c>
      <c r="F28" s="170">
        <f>'Q2'!G37</f>
        <v>0</v>
      </c>
      <c r="G28" s="170">
        <f>'Q2'!H37</f>
        <v>0</v>
      </c>
      <c r="H28" s="170">
        <f>'Q2'!I37</f>
        <v>0</v>
      </c>
      <c r="I28" s="170">
        <f>'Q2'!J37</f>
        <v>0</v>
      </c>
      <c r="J28" s="170">
        <f>'Q2'!K37</f>
        <v>0</v>
      </c>
      <c r="K28" s="170">
        <f>'Q2'!L37</f>
        <v>0</v>
      </c>
      <c r="L28" s="210">
        <f t="shared" si="11"/>
        <v>0</v>
      </c>
      <c r="M28">
        <f>L28-'Q2'!M37</f>
        <v>0</v>
      </c>
    </row>
    <row r="29" spans="1:13" x14ac:dyDescent="0.25">
      <c r="A29" t="s">
        <v>25</v>
      </c>
      <c r="B29">
        <f>SUM(B27:B28)</f>
        <v>140788</v>
      </c>
      <c r="C29">
        <f t="shared" ref="C29:K29" si="12">SUM(C27:C28)</f>
        <v>22438</v>
      </c>
      <c r="D29">
        <f t="shared" si="12"/>
        <v>-3819</v>
      </c>
      <c r="E29">
        <f t="shared" si="12"/>
        <v>42382</v>
      </c>
      <c r="F29">
        <f t="shared" si="12"/>
        <v>-27633</v>
      </c>
      <c r="G29">
        <f t="shared" si="12"/>
        <v>54446</v>
      </c>
      <c r="H29">
        <f t="shared" si="12"/>
        <v>0</v>
      </c>
      <c r="I29">
        <f t="shared" si="12"/>
        <v>84631</v>
      </c>
      <c r="J29">
        <f t="shared" si="12"/>
        <v>15709</v>
      </c>
      <c r="K29">
        <f t="shared" si="12"/>
        <v>32585</v>
      </c>
      <c r="L29" s="206">
        <f t="shared" si="11"/>
        <v>361527</v>
      </c>
      <c r="M29">
        <f>L29-'Q2'!M38</f>
        <v>0</v>
      </c>
    </row>
    <row r="30" spans="1:13" x14ac:dyDescent="0.25">
      <c r="A30" t="s">
        <v>26</v>
      </c>
      <c r="B30" s="170">
        <f>'Q2'!C39</f>
        <v>-42236</v>
      </c>
      <c r="C30" s="170">
        <f>'Q2'!D39</f>
        <v>-6731</v>
      </c>
      <c r="D30" s="170">
        <f>'Q2'!E39</f>
        <v>0</v>
      </c>
      <c r="E30" s="170">
        <f>'Q2'!F39</f>
        <v>-15100</v>
      </c>
      <c r="F30" s="170">
        <f>'Q2'!G39</f>
        <v>0</v>
      </c>
      <c r="G30" s="170">
        <f>'Q2'!H39</f>
        <v>-16334</v>
      </c>
      <c r="H30" s="170">
        <f>'Q2'!I39</f>
        <v>0</v>
      </c>
      <c r="I30" s="170">
        <f>'Q2'!J39</f>
        <v>0</v>
      </c>
      <c r="J30" s="170">
        <f>'Q2'!K39</f>
        <v>-4500</v>
      </c>
      <c r="K30" s="170">
        <f>'Q2'!L39</f>
        <v>0</v>
      </c>
      <c r="L30" s="210">
        <f t="shared" si="11"/>
        <v>-84901</v>
      </c>
      <c r="M30">
        <f>L30-'Q2'!M39</f>
        <v>0</v>
      </c>
    </row>
    <row r="31" spans="1:13" x14ac:dyDescent="0.25">
      <c r="A31" t="s">
        <v>27</v>
      </c>
      <c r="B31" s="201">
        <f>SUM(B29:B30)</f>
        <v>98552</v>
      </c>
      <c r="C31" s="201">
        <f t="shared" ref="C31:K31" si="13">SUM(C29:C30)</f>
        <v>15707</v>
      </c>
      <c r="D31" s="201">
        <f t="shared" si="13"/>
        <v>-3819</v>
      </c>
      <c r="E31" s="201">
        <f t="shared" si="13"/>
        <v>27282</v>
      </c>
      <c r="F31" s="201">
        <f t="shared" si="13"/>
        <v>-27633</v>
      </c>
      <c r="G31" s="201">
        <f t="shared" si="13"/>
        <v>38112</v>
      </c>
      <c r="H31" s="201">
        <f t="shared" si="13"/>
        <v>0</v>
      </c>
      <c r="I31" s="201">
        <f t="shared" si="13"/>
        <v>84631</v>
      </c>
      <c r="J31" s="201">
        <f t="shared" si="13"/>
        <v>11209</v>
      </c>
      <c r="K31" s="201">
        <f t="shared" si="13"/>
        <v>32585</v>
      </c>
      <c r="L31" s="209">
        <f t="shared" si="11"/>
        <v>276626</v>
      </c>
      <c r="M31">
        <f>L31-'Q2'!M40</f>
        <v>0</v>
      </c>
    </row>
    <row r="32" spans="1:13" x14ac:dyDescent="0.25">
      <c r="L32" s="206"/>
    </row>
    <row r="33" spans="12:12" x14ac:dyDescent="0.25">
      <c r="L33" s="206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76"/>
  <sheetViews>
    <sheetView showGridLines="0" zoomScale="84" zoomScaleNormal="84" workbookViewId="0"/>
  </sheetViews>
  <sheetFormatPr defaultRowHeight="15" x14ac:dyDescent="0.25"/>
  <cols>
    <col min="1" max="1" width="33.85546875" customWidth="1"/>
    <col min="2" max="3" width="10.7109375" bestFit="1" customWidth="1"/>
    <col min="5" max="5" width="12.5703125" bestFit="1" customWidth="1"/>
    <col min="6" max="6" width="16" bestFit="1" customWidth="1"/>
    <col min="7" max="7" width="12.5703125" bestFit="1" customWidth="1"/>
    <col min="9" max="9" width="14.28515625" customWidth="1"/>
    <col min="10" max="10" width="11.42578125" bestFit="1" customWidth="1"/>
    <col min="11" max="11" width="13.140625" customWidth="1"/>
    <col min="13" max="13" width="9.140625" customWidth="1"/>
  </cols>
  <sheetData>
    <row r="2" spans="1:13" x14ac:dyDescent="0.25">
      <c r="B2" t="s">
        <v>65</v>
      </c>
      <c r="C2" t="s">
        <v>66</v>
      </c>
      <c r="D2" t="s">
        <v>67</v>
      </c>
      <c r="E2" t="s">
        <v>83</v>
      </c>
      <c r="F2" s="217" t="s">
        <v>82</v>
      </c>
      <c r="G2" t="s">
        <v>68</v>
      </c>
      <c r="H2" t="s">
        <v>69</v>
      </c>
      <c r="I2" s="217" t="s">
        <v>161</v>
      </c>
      <c r="J2" t="s">
        <v>70</v>
      </c>
      <c r="K2" t="s">
        <v>71</v>
      </c>
      <c r="L2" t="s">
        <v>4</v>
      </c>
    </row>
    <row r="3" spans="1:13" x14ac:dyDescent="0.25">
      <c r="A3" t="s">
        <v>6</v>
      </c>
      <c r="B3" s="197">
        <f>SUM(B4:B5)</f>
        <v>628602</v>
      </c>
      <c r="C3" s="197">
        <f t="shared" ref="C3:K3" si="0">SUM(C4:C5)</f>
        <v>144948</v>
      </c>
      <c r="D3" s="197">
        <f t="shared" si="0"/>
        <v>75038</v>
      </c>
      <c r="E3" s="197">
        <f t="shared" si="0"/>
        <v>122388</v>
      </c>
      <c r="F3" s="197">
        <f t="shared" si="0"/>
        <v>36006</v>
      </c>
      <c r="G3" s="197">
        <f t="shared" si="0"/>
        <v>226061</v>
      </c>
      <c r="H3" s="197">
        <f t="shared" si="0"/>
        <v>0</v>
      </c>
      <c r="I3" s="197">
        <f t="shared" si="0"/>
        <v>422007</v>
      </c>
      <c r="J3" s="197">
        <f t="shared" si="0"/>
        <v>126241</v>
      </c>
      <c r="K3" s="197">
        <f t="shared" si="0"/>
        <v>400250</v>
      </c>
      <c r="L3" s="207">
        <f>SUM(B3:K3)</f>
        <v>2181541</v>
      </c>
      <c r="M3">
        <f>L3-YTD!M13</f>
        <v>0</v>
      </c>
    </row>
    <row r="4" spans="1:13" x14ac:dyDescent="0.25">
      <c r="A4" t="s">
        <v>7</v>
      </c>
      <c r="B4" s="170">
        <f>YTD!C14</f>
        <v>627211</v>
      </c>
      <c r="C4" s="170">
        <f>YTD!D14</f>
        <v>122433</v>
      </c>
      <c r="D4" s="170">
        <f>YTD!E14</f>
        <v>73226</v>
      </c>
      <c r="E4" s="170">
        <f>YTD!F14</f>
        <v>115117</v>
      </c>
      <c r="F4" s="170">
        <f>YTD!G14</f>
        <v>34743</v>
      </c>
      <c r="G4" s="170">
        <f>YTD!H14</f>
        <v>212751</v>
      </c>
      <c r="H4" s="170">
        <f>YTD!I14</f>
        <v>0</v>
      </c>
      <c r="I4" s="170">
        <f>YTD!J14</f>
        <v>393860</v>
      </c>
      <c r="J4" s="170">
        <f>YTD!K14</f>
        <v>126241</v>
      </c>
      <c r="K4" s="170">
        <f>YTD!L14</f>
        <v>341757</v>
      </c>
      <c r="L4" s="210">
        <f t="shared" ref="L4:L5" si="1">SUM(B4:K4)</f>
        <v>2047339</v>
      </c>
      <c r="M4">
        <f>L4-YTD!M14</f>
        <v>0</v>
      </c>
    </row>
    <row r="5" spans="1:13" x14ac:dyDescent="0.25">
      <c r="A5" t="s">
        <v>8</v>
      </c>
      <c r="B5" s="170">
        <f>YTD!C15</f>
        <v>1391</v>
      </c>
      <c r="C5" s="170">
        <f>YTD!D15</f>
        <v>22515</v>
      </c>
      <c r="D5" s="170">
        <f>YTD!E15</f>
        <v>1812</v>
      </c>
      <c r="E5" s="170">
        <f>YTD!F15</f>
        <v>7271</v>
      </c>
      <c r="F5" s="170">
        <f>YTD!G15</f>
        <v>1263</v>
      </c>
      <c r="G5" s="170">
        <f>YTD!H15</f>
        <v>13310</v>
      </c>
      <c r="H5" s="170">
        <f>YTD!I15</f>
        <v>0</v>
      </c>
      <c r="I5" s="170">
        <f>YTD!J15</f>
        <v>28147</v>
      </c>
      <c r="J5" s="170">
        <f>YTD!K15</f>
        <v>0</v>
      </c>
      <c r="K5" s="170">
        <f>YTD!L15</f>
        <v>58493</v>
      </c>
      <c r="L5" s="210">
        <f t="shared" si="1"/>
        <v>134202</v>
      </c>
      <c r="M5">
        <f>L5-YTD!M15</f>
        <v>0</v>
      </c>
    </row>
    <row r="6" spans="1:13" x14ac:dyDescent="0.25">
      <c r="L6" s="206"/>
      <c r="M6">
        <f>L6-YTD!M16</f>
        <v>0</v>
      </c>
    </row>
    <row r="7" spans="1:13" x14ac:dyDescent="0.25">
      <c r="A7" t="s">
        <v>9</v>
      </c>
      <c r="B7" s="197">
        <f>SUM(B8:B10)</f>
        <v>-225466</v>
      </c>
      <c r="C7" s="197">
        <f t="shared" ref="C7:K7" si="2">SUM(C8:C10)</f>
        <v>-51645</v>
      </c>
      <c r="D7" s="197">
        <f t="shared" si="2"/>
        <v>-23049</v>
      </c>
      <c r="E7" s="197">
        <f t="shared" si="2"/>
        <v>-82500</v>
      </c>
      <c r="F7" s="197">
        <f t="shared" si="2"/>
        <v>-21906</v>
      </c>
      <c r="G7" s="197">
        <f t="shared" si="2"/>
        <v>-106403</v>
      </c>
      <c r="H7" s="197">
        <f t="shared" si="2"/>
        <v>0</v>
      </c>
      <c r="I7" s="197">
        <f t="shared" si="2"/>
        <v>-76253</v>
      </c>
      <c r="J7" s="197">
        <f t="shared" si="2"/>
        <v>-32492</v>
      </c>
      <c r="K7" s="197">
        <f t="shared" si="2"/>
        <v>-168855</v>
      </c>
      <c r="L7" s="207">
        <f>SUM(B7:K7)</f>
        <v>-788569</v>
      </c>
      <c r="M7">
        <f>L7-YTD!M17</f>
        <v>0</v>
      </c>
    </row>
    <row r="8" spans="1:13" x14ac:dyDescent="0.25">
      <c r="A8" t="s">
        <v>10</v>
      </c>
      <c r="B8" s="170">
        <f>YTD!C18</f>
        <v>-63854</v>
      </c>
      <c r="C8" s="170">
        <f>YTD!D18</f>
        <v>-15770</v>
      </c>
      <c r="D8" s="170">
        <f>YTD!E18</f>
        <v>-19012</v>
      </c>
      <c r="E8" s="170">
        <f>YTD!F18</f>
        <v>-80840</v>
      </c>
      <c r="F8" s="170">
        <f>YTD!G18</f>
        <v>-18370</v>
      </c>
      <c r="G8" s="170">
        <f>YTD!H18</f>
        <v>-91469</v>
      </c>
      <c r="H8" s="170">
        <f>YTD!I18</f>
        <v>0</v>
      </c>
      <c r="I8" s="170">
        <f>YTD!J18</f>
        <v>-76253</v>
      </c>
      <c r="J8" s="170">
        <f>YTD!K18</f>
        <v>-5836</v>
      </c>
      <c r="K8" s="170">
        <f>YTD!L18</f>
        <v>-108464</v>
      </c>
      <c r="L8" s="210">
        <f t="shared" ref="L8:L19" si="3">SUM(B8:K8)</f>
        <v>-479868</v>
      </c>
      <c r="M8">
        <f>L8-YTD!M18</f>
        <v>0</v>
      </c>
    </row>
    <row r="9" spans="1:13" x14ac:dyDescent="0.25">
      <c r="A9" s="23" t="s">
        <v>186</v>
      </c>
      <c r="B9" s="170">
        <f>YTD!C19</f>
        <v>-161612</v>
      </c>
      <c r="C9" s="170">
        <f>YTD!D19</f>
        <v>-35257</v>
      </c>
      <c r="D9" s="170">
        <f>YTD!E19</f>
        <v>-4037</v>
      </c>
      <c r="E9" s="170">
        <f>YTD!F19</f>
        <v>0</v>
      </c>
      <c r="F9" s="170">
        <f>YTD!G19</f>
        <v>-2846</v>
      </c>
      <c r="G9" s="170">
        <f>YTD!H19</f>
        <v>-14934</v>
      </c>
      <c r="H9" s="170">
        <f>YTD!I19</f>
        <v>0</v>
      </c>
      <c r="I9" s="170">
        <f>YTD!J19</f>
        <v>0</v>
      </c>
      <c r="J9" s="170">
        <f>YTD!K19</f>
        <v>-20775</v>
      </c>
      <c r="K9" s="170">
        <f>YTD!L19</f>
        <v>-60391</v>
      </c>
      <c r="L9" s="210">
        <f t="shared" si="3"/>
        <v>-299852</v>
      </c>
      <c r="M9">
        <f>L9-YTD!M19</f>
        <v>0</v>
      </c>
    </row>
    <row r="10" spans="1:13" x14ac:dyDescent="0.25">
      <c r="A10" t="s">
        <v>8</v>
      </c>
      <c r="B10" s="170">
        <f>YTD!C20</f>
        <v>0</v>
      </c>
      <c r="C10" s="170">
        <f>YTD!D20</f>
        <v>-618</v>
      </c>
      <c r="D10" s="170">
        <f>YTD!E20</f>
        <v>0</v>
      </c>
      <c r="E10" s="170">
        <f>YTD!F20</f>
        <v>-1660</v>
      </c>
      <c r="F10" s="170">
        <f>YTD!G20</f>
        <v>-690</v>
      </c>
      <c r="G10" s="170">
        <f>YTD!H20</f>
        <v>0</v>
      </c>
      <c r="H10" s="170">
        <f>YTD!I20</f>
        <v>0</v>
      </c>
      <c r="I10" s="170">
        <f>YTD!J20</f>
        <v>0</v>
      </c>
      <c r="J10" s="170">
        <f>YTD!K20</f>
        <v>-5881</v>
      </c>
      <c r="K10" s="170">
        <f>YTD!L20</f>
        <v>0</v>
      </c>
      <c r="L10" s="206">
        <f t="shared" si="3"/>
        <v>-8849</v>
      </c>
      <c r="M10">
        <f>L10-YTD!M20</f>
        <v>0</v>
      </c>
    </row>
    <row r="11" spans="1:13" x14ac:dyDescent="0.25">
      <c r="A11" s="198" t="s">
        <v>12</v>
      </c>
      <c r="B11" s="199">
        <f>B3+B7</f>
        <v>403136</v>
      </c>
      <c r="C11" s="199">
        <f t="shared" ref="C11:K11" si="4">C3+C7</f>
        <v>93303</v>
      </c>
      <c r="D11" s="199">
        <f t="shared" si="4"/>
        <v>51989</v>
      </c>
      <c r="E11" s="199">
        <f t="shared" si="4"/>
        <v>39888</v>
      </c>
      <c r="F11" s="199">
        <f t="shared" si="4"/>
        <v>14100</v>
      </c>
      <c r="G11" s="199">
        <f t="shared" si="4"/>
        <v>119658</v>
      </c>
      <c r="H11" s="199">
        <f t="shared" si="4"/>
        <v>0</v>
      </c>
      <c r="I11" s="199">
        <f t="shared" si="4"/>
        <v>345754</v>
      </c>
      <c r="J11" s="199">
        <f t="shared" si="4"/>
        <v>93749</v>
      </c>
      <c r="K11" s="199">
        <f t="shared" si="4"/>
        <v>231395</v>
      </c>
      <c r="L11" s="207">
        <f t="shared" si="3"/>
        <v>1392972</v>
      </c>
      <c r="M11">
        <f>L11-YTD!M21</f>
        <v>0</v>
      </c>
    </row>
    <row r="12" spans="1:13" x14ac:dyDescent="0.25">
      <c r="A12" t="s">
        <v>13</v>
      </c>
      <c r="B12" s="170">
        <f>YTD!C22</f>
        <v>-8364</v>
      </c>
      <c r="C12" s="170">
        <f>YTD!D22</f>
        <v>-7433</v>
      </c>
      <c r="D12" s="170">
        <f>YTD!E22</f>
        <v>-7749</v>
      </c>
      <c r="E12" s="170">
        <f>YTD!F22</f>
        <v>-9962</v>
      </c>
      <c r="F12" s="170">
        <f>YTD!G22</f>
        <v>-41259</v>
      </c>
      <c r="G12" s="170">
        <f>YTD!H22</f>
        <v>-7141</v>
      </c>
      <c r="H12" s="170">
        <f>YTD!I22</f>
        <v>0</v>
      </c>
      <c r="I12" s="170">
        <f>YTD!J22</f>
        <v>-13096</v>
      </c>
      <c r="J12" s="170">
        <f>YTD!K22</f>
        <v>-4606</v>
      </c>
      <c r="K12" s="170">
        <f>YTD!L22</f>
        <v>-1997</v>
      </c>
      <c r="L12" s="210">
        <f t="shared" si="3"/>
        <v>-101607</v>
      </c>
      <c r="M12">
        <f>L12-YTD!M22</f>
        <v>0</v>
      </c>
    </row>
    <row r="13" spans="1:13" x14ac:dyDescent="0.25">
      <c r="A13" s="198" t="s">
        <v>14</v>
      </c>
      <c r="B13" s="200">
        <f>B11+B12</f>
        <v>394772</v>
      </c>
      <c r="C13" s="200">
        <f t="shared" ref="C13:K13" si="5">C11+C12</f>
        <v>85870</v>
      </c>
      <c r="D13" s="200">
        <f t="shared" si="5"/>
        <v>44240</v>
      </c>
      <c r="E13" s="200">
        <f t="shared" si="5"/>
        <v>29926</v>
      </c>
      <c r="F13" s="200">
        <f t="shared" si="5"/>
        <v>-27159</v>
      </c>
      <c r="G13" s="200">
        <f t="shared" si="5"/>
        <v>112517</v>
      </c>
      <c r="H13" s="200">
        <f t="shared" si="5"/>
        <v>0</v>
      </c>
      <c r="I13" s="200">
        <f t="shared" si="5"/>
        <v>332658</v>
      </c>
      <c r="J13" s="200">
        <f t="shared" si="5"/>
        <v>89143</v>
      </c>
      <c r="K13" s="200">
        <f t="shared" si="5"/>
        <v>229398</v>
      </c>
      <c r="L13" s="208">
        <f t="shared" si="3"/>
        <v>1291365</v>
      </c>
      <c r="M13">
        <f>L13-YTD!M23</f>
        <v>0</v>
      </c>
    </row>
    <row r="14" spans="1:13" x14ac:dyDescent="0.25">
      <c r="L14" s="206"/>
      <c r="M14">
        <f>L14-YTD!M24</f>
        <v>0</v>
      </c>
    </row>
    <row r="15" spans="1:13" x14ac:dyDescent="0.25">
      <c r="A15" t="s">
        <v>15</v>
      </c>
      <c r="B15" s="197">
        <f t="shared" ref="B15:K15" si="6">SUM(B16:B18)</f>
        <v>57645</v>
      </c>
      <c r="C15" s="197">
        <f t="shared" si="6"/>
        <v>22344</v>
      </c>
      <c r="D15" s="197">
        <f t="shared" si="6"/>
        <v>-1360</v>
      </c>
      <c r="E15" s="197">
        <f t="shared" si="6"/>
        <v>127888</v>
      </c>
      <c r="F15" s="197">
        <f t="shared" si="6"/>
        <v>4987</v>
      </c>
      <c r="G15" s="197">
        <f t="shared" si="6"/>
        <v>86061</v>
      </c>
      <c r="H15" s="197">
        <f t="shared" si="6"/>
        <v>0</v>
      </c>
      <c r="I15" s="197">
        <f t="shared" si="6"/>
        <v>82376</v>
      </c>
      <c r="J15" s="197">
        <f t="shared" si="6"/>
        <v>36372</v>
      </c>
      <c r="K15" s="197">
        <f t="shared" si="6"/>
        <v>47717</v>
      </c>
      <c r="L15" s="207">
        <f t="shared" si="3"/>
        <v>464030</v>
      </c>
      <c r="M15">
        <f>L15-YTD!M25</f>
        <v>0</v>
      </c>
    </row>
    <row r="16" spans="1:13" x14ac:dyDescent="0.25">
      <c r="A16" s="34" t="s">
        <v>171</v>
      </c>
      <c r="B16" s="170">
        <f>YTD!C26</f>
        <v>50985</v>
      </c>
      <c r="C16" s="170">
        <f>YTD!D26</f>
        <v>20063</v>
      </c>
      <c r="D16" s="170">
        <f>YTD!E26</f>
        <v>1621</v>
      </c>
      <c r="E16" s="170">
        <f>YTD!F26</f>
        <v>125170</v>
      </c>
      <c r="F16" s="170">
        <f>YTD!G26</f>
        <v>4987</v>
      </c>
      <c r="G16" s="170">
        <f>YTD!H26</f>
        <v>86388</v>
      </c>
      <c r="H16" s="170">
        <f>YTD!I26</f>
        <v>0</v>
      </c>
      <c r="I16" s="170">
        <f>YTD!J26</f>
        <v>80445</v>
      </c>
      <c r="J16" s="170">
        <f>YTD!K26</f>
        <v>29956</v>
      </c>
      <c r="K16" s="170">
        <f>YTD!L26</f>
        <v>36502</v>
      </c>
      <c r="L16" s="210">
        <f t="shared" si="3"/>
        <v>436117</v>
      </c>
      <c r="M16">
        <f>L16-YTD!M26</f>
        <v>0</v>
      </c>
    </row>
    <row r="17" spans="1:13" x14ac:dyDescent="0.25">
      <c r="A17" s="34" t="s">
        <v>172</v>
      </c>
      <c r="B17" s="170">
        <f>YTD!C27</f>
        <v>3298</v>
      </c>
      <c r="C17" s="170">
        <f>YTD!D27</f>
        <v>-2188</v>
      </c>
      <c r="D17" s="170">
        <f>YTD!E27</f>
        <v>1441</v>
      </c>
      <c r="E17" s="170">
        <f>YTD!F27</f>
        <v>2499</v>
      </c>
      <c r="F17" s="170">
        <f>YTD!G27</f>
        <v>0</v>
      </c>
      <c r="G17" s="170">
        <f>YTD!H27</f>
        <v>-327</v>
      </c>
      <c r="H17" s="170">
        <f>YTD!I27</f>
        <v>0</v>
      </c>
      <c r="I17" s="170">
        <f>YTD!J27</f>
        <v>-597</v>
      </c>
      <c r="J17" s="170">
        <f>YTD!K27</f>
        <v>45</v>
      </c>
      <c r="K17" s="170">
        <f>YTD!L27</f>
        <v>0</v>
      </c>
      <c r="L17" s="210">
        <f t="shared" si="3"/>
        <v>4171</v>
      </c>
      <c r="M17">
        <f>L17-YTD!M27</f>
        <v>0</v>
      </c>
    </row>
    <row r="18" spans="1:13" x14ac:dyDescent="0.25">
      <c r="A18" s="34" t="s">
        <v>17</v>
      </c>
      <c r="B18" s="170">
        <f>YTD!C28</f>
        <v>3362</v>
      </c>
      <c r="C18" s="170">
        <f>YTD!D28</f>
        <v>4469</v>
      </c>
      <c r="D18" s="170">
        <f>YTD!E28</f>
        <v>-4422</v>
      </c>
      <c r="E18" s="170">
        <f>YTD!F28</f>
        <v>219</v>
      </c>
      <c r="F18" s="170">
        <f>YTD!G28</f>
        <v>0</v>
      </c>
      <c r="G18" s="170">
        <f>YTD!H28</f>
        <v>0</v>
      </c>
      <c r="H18" s="170">
        <f>YTD!I28</f>
        <v>0</v>
      </c>
      <c r="I18" s="170">
        <f>YTD!J28</f>
        <v>2528</v>
      </c>
      <c r="J18" s="170">
        <f>YTD!K28</f>
        <v>6371</v>
      </c>
      <c r="K18" s="170">
        <f>YTD!L28</f>
        <v>11215</v>
      </c>
      <c r="L18" s="210">
        <f t="shared" si="3"/>
        <v>23742</v>
      </c>
      <c r="M18">
        <f>L18-YTD!M28</f>
        <v>0</v>
      </c>
    </row>
    <row r="19" spans="1:13" x14ac:dyDescent="0.25">
      <c r="A19" s="198" t="s">
        <v>18</v>
      </c>
      <c r="B19" s="201">
        <f t="shared" ref="B19:K19" si="7">B13+B15</f>
        <v>452417</v>
      </c>
      <c r="C19" s="201">
        <f t="shared" si="7"/>
        <v>108214</v>
      </c>
      <c r="D19" s="201">
        <f t="shared" si="7"/>
        <v>42880</v>
      </c>
      <c r="E19" s="201">
        <f t="shared" si="7"/>
        <v>157814</v>
      </c>
      <c r="F19" s="201">
        <f t="shared" si="7"/>
        <v>-22172</v>
      </c>
      <c r="G19" s="201">
        <f t="shared" si="7"/>
        <v>198578</v>
      </c>
      <c r="H19" s="201">
        <f t="shared" si="7"/>
        <v>0</v>
      </c>
      <c r="I19" s="201">
        <f t="shared" si="7"/>
        <v>415034</v>
      </c>
      <c r="J19" s="201">
        <f t="shared" si="7"/>
        <v>125515</v>
      </c>
      <c r="K19" s="201">
        <f t="shared" si="7"/>
        <v>277115</v>
      </c>
      <c r="L19" s="209">
        <f t="shared" si="3"/>
        <v>1755395</v>
      </c>
      <c r="M19">
        <f>L19-YTD!M29</f>
        <v>0</v>
      </c>
    </row>
    <row r="20" spans="1:13" x14ac:dyDescent="0.25">
      <c r="L20" s="206"/>
      <c r="M20">
        <f>L20-YTD!M30</f>
        <v>0</v>
      </c>
    </row>
    <row r="21" spans="1:13" x14ac:dyDescent="0.25">
      <c r="A21" t="s">
        <v>19</v>
      </c>
      <c r="L21" s="206"/>
      <c r="M21">
        <f>L21-YTD!M31</f>
        <v>0</v>
      </c>
    </row>
    <row r="22" spans="1:13" x14ac:dyDescent="0.25">
      <c r="A22" t="s">
        <v>20</v>
      </c>
      <c r="B22" s="170">
        <f>YTD!C32</f>
        <v>-10868</v>
      </c>
      <c r="C22" s="170">
        <f>YTD!D32</f>
        <v>-4380</v>
      </c>
      <c r="D22" s="170">
        <f>YTD!E32</f>
        <v>-1380</v>
      </c>
      <c r="E22" s="170">
        <f>YTD!F32</f>
        <v>-6768</v>
      </c>
      <c r="F22" s="170">
        <f>YTD!G32</f>
        <v>-2435</v>
      </c>
      <c r="G22" s="170">
        <f>YTD!H32</f>
        <v>-6333</v>
      </c>
      <c r="H22" s="170">
        <f>YTD!I32</f>
        <v>0</v>
      </c>
      <c r="I22" s="170">
        <f>YTD!J32</f>
        <v>-11828</v>
      </c>
      <c r="J22" s="170">
        <f>YTD!K32</f>
        <v>-5252</v>
      </c>
      <c r="K22" s="170">
        <f>YTD!L32</f>
        <v>-13789</v>
      </c>
      <c r="L22" s="210">
        <f t="shared" ref="L22:L24" si="8">SUM(B22:K22)</f>
        <v>-63033</v>
      </c>
      <c r="M22">
        <f>L22-YTD!M32</f>
        <v>0</v>
      </c>
    </row>
    <row r="23" spans="1:13" x14ac:dyDescent="0.25">
      <c r="A23" t="s">
        <v>21</v>
      </c>
      <c r="B23" s="170">
        <f>YTD!C33</f>
        <v>-171981</v>
      </c>
      <c r="C23" s="170">
        <f>YTD!D33</f>
        <v>-70862</v>
      </c>
      <c r="D23" s="170">
        <f>YTD!E33</f>
        <v>-42579</v>
      </c>
      <c r="E23" s="170">
        <f>YTD!F33</f>
        <v>-72935</v>
      </c>
      <c r="F23" s="170">
        <f>YTD!G33</f>
        <v>-23473</v>
      </c>
      <c r="G23" s="170">
        <f>YTD!H33</f>
        <v>-94320</v>
      </c>
      <c r="H23" s="170">
        <f>YTD!I33</f>
        <v>0</v>
      </c>
      <c r="I23" s="170">
        <f>YTD!J33</f>
        <v>-259408</v>
      </c>
      <c r="J23" s="170">
        <f>YTD!K33</f>
        <v>-90598</v>
      </c>
      <c r="K23" s="170">
        <f>YTD!L33</f>
        <v>-194480</v>
      </c>
      <c r="L23" s="210">
        <f t="shared" si="8"/>
        <v>-1020636</v>
      </c>
      <c r="M23">
        <f>L23-YTD!M33</f>
        <v>0</v>
      </c>
    </row>
    <row r="24" spans="1:13" x14ac:dyDescent="0.25">
      <c r="A24" t="s">
        <v>22</v>
      </c>
      <c r="B24" s="202">
        <f>SUM(B22:B23)</f>
        <v>-182849</v>
      </c>
      <c r="C24" s="202">
        <f t="shared" ref="C24:K24" si="9">SUM(C22:C23)</f>
        <v>-75242</v>
      </c>
      <c r="D24" s="202">
        <f t="shared" si="9"/>
        <v>-43959</v>
      </c>
      <c r="E24" s="202">
        <f t="shared" si="9"/>
        <v>-79703</v>
      </c>
      <c r="F24" s="202">
        <f t="shared" si="9"/>
        <v>-25908</v>
      </c>
      <c r="G24" s="202">
        <f t="shared" si="9"/>
        <v>-100653</v>
      </c>
      <c r="H24" s="202">
        <f t="shared" si="9"/>
        <v>0</v>
      </c>
      <c r="I24" s="202">
        <f t="shared" si="9"/>
        <v>-271236</v>
      </c>
      <c r="J24" s="202">
        <f t="shared" si="9"/>
        <v>-95850</v>
      </c>
      <c r="K24" s="202">
        <f t="shared" si="9"/>
        <v>-208269</v>
      </c>
      <c r="L24" s="209">
        <f t="shared" si="8"/>
        <v>-1083669</v>
      </c>
      <c r="M24">
        <f>L24-YTD!M34</f>
        <v>0</v>
      </c>
    </row>
    <row r="25" spans="1:13" x14ac:dyDescent="0.25">
      <c r="L25" s="206"/>
      <c r="M25">
        <f>L25-YTD!M35</f>
        <v>0</v>
      </c>
    </row>
    <row r="26" spans="1:13" x14ac:dyDescent="0.25">
      <c r="A26" t="s">
        <v>23</v>
      </c>
      <c r="B26" s="202">
        <f>B19+B24</f>
        <v>269568</v>
      </c>
      <c r="C26" s="202">
        <f t="shared" ref="C26:K26" si="10">C19+C24</f>
        <v>32972</v>
      </c>
      <c r="D26" s="202">
        <f t="shared" si="10"/>
        <v>-1079</v>
      </c>
      <c r="E26" s="202">
        <f t="shared" si="10"/>
        <v>78111</v>
      </c>
      <c r="F26" s="202">
        <f t="shared" si="10"/>
        <v>-48080</v>
      </c>
      <c r="G26" s="202">
        <f t="shared" si="10"/>
        <v>97925</v>
      </c>
      <c r="H26" s="202">
        <f t="shared" si="10"/>
        <v>0</v>
      </c>
      <c r="I26" s="202">
        <f t="shared" si="10"/>
        <v>143798</v>
      </c>
      <c r="J26" s="202">
        <f t="shared" si="10"/>
        <v>29665</v>
      </c>
      <c r="K26" s="202">
        <f t="shared" si="10"/>
        <v>68846</v>
      </c>
      <c r="L26" s="209">
        <f t="shared" ref="L26:L30" si="11">SUM(B26:K26)</f>
        <v>671726</v>
      </c>
      <c r="M26">
        <f>L26-YTD!M36</f>
        <v>0</v>
      </c>
    </row>
    <row r="27" spans="1:13" x14ac:dyDescent="0.25">
      <c r="A27" t="s">
        <v>24</v>
      </c>
      <c r="B27" s="170">
        <f>YTD!C37</f>
        <v>0</v>
      </c>
      <c r="C27" s="170">
        <f>YTD!D37</f>
        <v>0</v>
      </c>
      <c r="D27" s="170">
        <f>YTD!E37</f>
        <v>0</v>
      </c>
      <c r="E27" s="170">
        <f>YTD!F37</f>
        <v>0</v>
      </c>
      <c r="F27" s="170">
        <f>YTD!G37</f>
        <v>0</v>
      </c>
      <c r="G27" s="170">
        <f>YTD!H37</f>
        <v>0</v>
      </c>
      <c r="H27" s="170">
        <f>YTD!I37</f>
        <v>0</v>
      </c>
      <c r="I27" s="170">
        <f>YTD!J37</f>
        <v>0</v>
      </c>
      <c r="J27" s="170">
        <f>YTD!K37</f>
        <v>0</v>
      </c>
      <c r="K27" s="170">
        <f>YTD!L37</f>
        <v>0</v>
      </c>
      <c r="L27" s="210">
        <f t="shared" si="11"/>
        <v>0</v>
      </c>
      <c r="M27">
        <f>L27-YTD!M37</f>
        <v>0</v>
      </c>
    </row>
    <row r="28" spans="1:13" x14ac:dyDescent="0.25">
      <c r="A28" t="s">
        <v>25</v>
      </c>
      <c r="B28">
        <f>SUM(B26:B27)</f>
        <v>269568</v>
      </c>
      <c r="C28">
        <f t="shared" ref="C28:K28" si="12">SUM(C26:C27)</f>
        <v>32972</v>
      </c>
      <c r="D28">
        <f t="shared" si="12"/>
        <v>-1079</v>
      </c>
      <c r="E28">
        <f t="shared" si="12"/>
        <v>78111</v>
      </c>
      <c r="F28">
        <f t="shared" si="12"/>
        <v>-48080</v>
      </c>
      <c r="G28">
        <f t="shared" si="12"/>
        <v>97925</v>
      </c>
      <c r="H28">
        <f t="shared" si="12"/>
        <v>0</v>
      </c>
      <c r="I28">
        <f t="shared" si="12"/>
        <v>143798</v>
      </c>
      <c r="J28">
        <f t="shared" si="12"/>
        <v>29665</v>
      </c>
      <c r="K28">
        <f t="shared" si="12"/>
        <v>68846</v>
      </c>
      <c r="L28" s="206">
        <f t="shared" si="11"/>
        <v>671726</v>
      </c>
      <c r="M28">
        <f>L28-YTD!M38</f>
        <v>0</v>
      </c>
    </row>
    <row r="29" spans="1:13" x14ac:dyDescent="0.25">
      <c r="A29" t="s">
        <v>26</v>
      </c>
      <c r="B29" s="170">
        <f>YTD!C39</f>
        <v>-80934</v>
      </c>
      <c r="C29" s="170">
        <f>YTD!D39</f>
        <v>-9891</v>
      </c>
      <c r="D29" s="170">
        <f>YTD!E39</f>
        <v>-822</v>
      </c>
      <c r="E29" s="170">
        <f>YTD!F39</f>
        <v>-27563</v>
      </c>
      <c r="F29" s="170">
        <f>YTD!G39</f>
        <v>0</v>
      </c>
      <c r="G29" s="170">
        <f>YTD!H39</f>
        <v>-29378</v>
      </c>
      <c r="H29" s="170">
        <f>YTD!I39</f>
        <v>0</v>
      </c>
      <c r="I29" s="170">
        <f>YTD!J39</f>
        <v>0</v>
      </c>
      <c r="J29" s="170">
        <f>YTD!K39</f>
        <v>-8400</v>
      </c>
      <c r="K29" s="170">
        <f>YTD!L39</f>
        <v>0</v>
      </c>
      <c r="L29" s="210">
        <f t="shared" si="11"/>
        <v>-156988</v>
      </c>
      <c r="M29">
        <f>L29-YTD!M39</f>
        <v>0</v>
      </c>
    </row>
    <row r="30" spans="1:13" x14ac:dyDescent="0.25">
      <c r="A30" t="s">
        <v>27</v>
      </c>
      <c r="B30" s="201">
        <f>SUM(B28:B29)</f>
        <v>188634</v>
      </c>
      <c r="C30" s="201">
        <f t="shared" ref="C30:K30" si="13">SUM(C28:C29)</f>
        <v>23081</v>
      </c>
      <c r="D30" s="201">
        <f t="shared" si="13"/>
        <v>-1901</v>
      </c>
      <c r="E30" s="201">
        <f t="shared" si="13"/>
        <v>50548</v>
      </c>
      <c r="F30" s="201">
        <f t="shared" si="13"/>
        <v>-48080</v>
      </c>
      <c r="G30" s="201">
        <f t="shared" si="13"/>
        <v>68547</v>
      </c>
      <c r="H30" s="201">
        <f t="shared" si="13"/>
        <v>0</v>
      </c>
      <c r="I30" s="201">
        <f t="shared" si="13"/>
        <v>143798</v>
      </c>
      <c r="J30" s="201">
        <f t="shared" si="13"/>
        <v>21265</v>
      </c>
      <c r="K30" s="201">
        <f t="shared" si="13"/>
        <v>68846</v>
      </c>
      <c r="L30" s="209">
        <f t="shared" si="11"/>
        <v>514738</v>
      </c>
      <c r="M30">
        <f>L30-YTD!M40</f>
        <v>0</v>
      </c>
    </row>
    <row r="31" spans="1:13" x14ac:dyDescent="0.25">
      <c r="L31" s="206"/>
    </row>
    <row r="32" spans="1:13" x14ac:dyDescent="0.25">
      <c r="L32" s="206"/>
    </row>
    <row r="33" spans="1:13" ht="18.75" x14ac:dyDescent="0.3">
      <c r="A33" s="204" t="s">
        <v>28</v>
      </c>
      <c r="L33" s="206"/>
    </row>
    <row r="34" spans="1:13" x14ac:dyDescent="0.25">
      <c r="L34" s="206"/>
    </row>
    <row r="35" spans="1:13" x14ac:dyDescent="0.25">
      <c r="A35" s="203" t="s">
        <v>29</v>
      </c>
      <c r="L35" s="206"/>
    </row>
    <row r="36" spans="1:13" x14ac:dyDescent="0.25">
      <c r="A36" s="34" t="s">
        <v>72</v>
      </c>
      <c r="B36" s="39">
        <f>YTD!C47</f>
        <v>616637</v>
      </c>
      <c r="C36" s="39">
        <f>YTD!D47</f>
        <v>133585</v>
      </c>
      <c r="D36" s="39">
        <f>YTD!E47</f>
        <v>85534</v>
      </c>
      <c r="E36" s="39">
        <f>YTD!F47</f>
        <v>329116</v>
      </c>
      <c r="F36" s="39">
        <f>YTD!G47</f>
        <v>44854</v>
      </c>
      <c r="G36" s="39">
        <f>YTD!H47</f>
        <v>120577</v>
      </c>
      <c r="H36" s="39">
        <f>YTD!I47</f>
        <v>0</v>
      </c>
      <c r="I36" s="39">
        <f>YTD!J47</f>
        <v>462721</v>
      </c>
      <c r="J36" s="39">
        <f>YTD!K47</f>
        <v>39153</v>
      </c>
      <c r="K36" s="39">
        <f>YTD!L47</f>
        <v>564511</v>
      </c>
      <c r="L36" s="210">
        <f>SUM(B36:K36)</f>
        <v>2396688</v>
      </c>
      <c r="M36">
        <f>YTD!M47-L36</f>
        <v>0</v>
      </c>
    </row>
    <row r="37" spans="1:13" x14ac:dyDescent="0.25">
      <c r="A37" s="34" t="s">
        <v>73</v>
      </c>
      <c r="B37" s="39">
        <f>YTD!C48</f>
        <v>0</v>
      </c>
      <c r="C37" s="39">
        <f>YTD!D48</f>
        <v>114322</v>
      </c>
      <c r="D37" s="39">
        <f>YTD!E48</f>
        <v>16777</v>
      </c>
      <c r="E37" s="39">
        <f>YTD!F48</f>
        <v>0</v>
      </c>
      <c r="F37" s="39">
        <f>YTD!G48</f>
        <v>0</v>
      </c>
      <c r="G37" s="39">
        <f>YTD!H48</f>
        <v>280800</v>
      </c>
      <c r="H37" s="39">
        <f>YTD!I48</f>
        <v>0</v>
      </c>
      <c r="I37" s="39">
        <f>YTD!J48</f>
        <v>433001</v>
      </c>
      <c r="J37" s="39">
        <f>YTD!K48</f>
        <v>0</v>
      </c>
      <c r="K37" s="39">
        <f>YTD!L48</f>
        <v>633857</v>
      </c>
      <c r="L37" s="210">
        <f t="shared" ref="L37:L43" si="14">SUM(B37:K37)</f>
        <v>1478757</v>
      </c>
      <c r="M37">
        <f>YTD!M48-L37</f>
        <v>0</v>
      </c>
    </row>
    <row r="38" spans="1:13" x14ac:dyDescent="0.25">
      <c r="A38" s="34" t="s">
        <v>74</v>
      </c>
      <c r="B38" s="270">
        <f>YTD!C49</f>
        <v>3912125</v>
      </c>
      <c r="C38" s="270">
        <f>YTD!D49</f>
        <v>492402</v>
      </c>
      <c r="D38" s="270">
        <f>YTD!E49</f>
        <v>232439</v>
      </c>
      <c r="E38" s="270">
        <f>YTD!F49</f>
        <v>950343</v>
      </c>
      <c r="F38" s="270">
        <f>YTD!G49</f>
        <v>168718</v>
      </c>
      <c r="G38" s="270">
        <f>YTD!H49</f>
        <v>1259747</v>
      </c>
      <c r="H38" s="270">
        <f>YTD!I49</f>
        <v>0</v>
      </c>
      <c r="I38" s="270">
        <f>YTD!J49</f>
        <v>2253761</v>
      </c>
      <c r="J38" s="270">
        <f>YTD!K49</f>
        <v>440140</v>
      </c>
      <c r="K38" s="270">
        <f>YTD!L49</f>
        <v>2728660</v>
      </c>
      <c r="L38" s="285">
        <f t="shared" si="14"/>
        <v>12438335</v>
      </c>
      <c r="M38">
        <f>YTD!M49-L38</f>
        <v>0</v>
      </c>
    </row>
    <row r="39" spans="1:13" x14ac:dyDescent="0.25">
      <c r="A39" s="34" t="s">
        <v>75</v>
      </c>
      <c r="B39" s="271">
        <f>YTD!C50</f>
        <v>0</v>
      </c>
      <c r="C39" s="271">
        <f>YTD!D50</f>
        <v>0</v>
      </c>
      <c r="D39" s="271">
        <f>YTD!E50</f>
        <v>-37319</v>
      </c>
      <c r="E39" s="271">
        <f>YTD!F50</f>
        <v>-59205</v>
      </c>
      <c r="F39" s="271">
        <f>YTD!G50</f>
        <v>0</v>
      </c>
      <c r="G39" s="271">
        <f>YTD!H50</f>
        <v>0</v>
      </c>
      <c r="H39" s="271">
        <f>YTD!I50</f>
        <v>0</v>
      </c>
      <c r="I39" s="271">
        <f>YTD!J50</f>
        <v>0</v>
      </c>
      <c r="J39" s="271">
        <f>YTD!K50</f>
        <v>-6612</v>
      </c>
      <c r="K39" s="271">
        <f>YTD!L50</f>
        <v>0</v>
      </c>
      <c r="L39" s="286">
        <f t="shared" si="14"/>
        <v>-103136</v>
      </c>
      <c r="M39">
        <f>YTD!M50-L39</f>
        <v>0</v>
      </c>
    </row>
    <row r="40" spans="1:13" x14ac:dyDescent="0.25">
      <c r="A40" s="34" t="s">
        <v>176</v>
      </c>
      <c r="B40" s="246">
        <f>SUM(B38:B39)</f>
        <v>3912125</v>
      </c>
      <c r="C40" s="246">
        <f t="shared" ref="C40:L40" si="15">SUM(C38:C39)</f>
        <v>492402</v>
      </c>
      <c r="D40" s="246">
        <f t="shared" si="15"/>
        <v>195120</v>
      </c>
      <c r="E40" s="246">
        <f t="shared" si="15"/>
        <v>891138</v>
      </c>
      <c r="F40" s="246">
        <f t="shared" si="15"/>
        <v>168718</v>
      </c>
      <c r="G40" s="246">
        <f t="shared" si="15"/>
        <v>1259747</v>
      </c>
      <c r="H40" s="246">
        <f t="shared" si="15"/>
        <v>0</v>
      </c>
      <c r="I40" s="246">
        <f t="shared" si="15"/>
        <v>2253761</v>
      </c>
      <c r="J40" s="246">
        <f t="shared" si="15"/>
        <v>433528</v>
      </c>
      <c r="K40" s="246">
        <f t="shared" si="15"/>
        <v>2728660</v>
      </c>
      <c r="L40" s="210">
        <f t="shared" si="15"/>
        <v>12335199</v>
      </c>
      <c r="M40">
        <f>YTD!M51-L40</f>
        <v>0</v>
      </c>
    </row>
    <row r="41" spans="1:13" x14ac:dyDescent="0.25">
      <c r="A41" s="17" t="s">
        <v>77</v>
      </c>
      <c r="B41" s="39">
        <f>YTD!C52</f>
        <v>52464</v>
      </c>
      <c r="C41" s="39">
        <f>YTD!D52</f>
        <v>17287</v>
      </c>
      <c r="D41" s="39">
        <f>YTD!E52</f>
        <v>12562</v>
      </c>
      <c r="E41" s="39">
        <f>YTD!F52</f>
        <v>16199</v>
      </c>
      <c r="F41" s="39">
        <f>YTD!G52</f>
        <v>2379</v>
      </c>
      <c r="G41" s="39">
        <f>YTD!H52</f>
        <v>30287</v>
      </c>
      <c r="H41" s="39">
        <f>YTD!I52</f>
        <v>0</v>
      </c>
      <c r="I41" s="39">
        <f>YTD!J52</f>
        <v>128806</v>
      </c>
      <c r="J41" s="39">
        <f>YTD!K52</f>
        <v>36682</v>
      </c>
      <c r="K41" s="39">
        <f>YTD!L52</f>
        <v>575049</v>
      </c>
      <c r="L41" s="206">
        <f t="shared" si="14"/>
        <v>871715</v>
      </c>
      <c r="M41">
        <f>YTD!M52-L41</f>
        <v>0</v>
      </c>
    </row>
    <row r="42" spans="1:13" x14ac:dyDescent="0.25">
      <c r="A42" s="17" t="s">
        <v>78</v>
      </c>
      <c r="B42" s="39">
        <f>YTD!C53</f>
        <v>154957</v>
      </c>
      <c r="C42" s="39">
        <f>YTD!D53</f>
        <v>87134</v>
      </c>
      <c r="D42" s="39">
        <f>YTD!E53</f>
        <v>59981</v>
      </c>
      <c r="E42" s="39">
        <f>YTD!F53</f>
        <v>136092</v>
      </c>
      <c r="F42" s="39">
        <f>YTD!G53</f>
        <v>30370</v>
      </c>
      <c r="G42" s="39">
        <f>YTD!H53</f>
        <v>107958</v>
      </c>
      <c r="H42" s="39">
        <f>YTD!I53</f>
        <v>0</v>
      </c>
      <c r="I42" s="39">
        <f>YTD!J53</f>
        <v>458966</v>
      </c>
      <c r="J42" s="39">
        <f>YTD!K53</f>
        <v>43518</v>
      </c>
      <c r="K42" s="39">
        <f>YTD!L53</f>
        <v>220299</v>
      </c>
      <c r="L42" s="210">
        <f t="shared" si="14"/>
        <v>1299275</v>
      </c>
      <c r="M42">
        <f>YTD!M53-L42</f>
        <v>0</v>
      </c>
    </row>
    <row r="43" spans="1:13" x14ac:dyDescent="0.25">
      <c r="A43" s="198" t="s">
        <v>30</v>
      </c>
      <c r="B43" s="289">
        <f t="shared" ref="B43:K43" si="16">SUM(B36:B37)+B40+B41+B42</f>
        <v>4736183</v>
      </c>
      <c r="C43" s="289">
        <f t="shared" si="16"/>
        <v>844730</v>
      </c>
      <c r="D43" s="289">
        <f t="shared" si="16"/>
        <v>369974</v>
      </c>
      <c r="E43" s="289">
        <f t="shared" si="16"/>
        <v>1372545</v>
      </c>
      <c r="F43" s="289">
        <f t="shared" si="16"/>
        <v>246321</v>
      </c>
      <c r="G43" s="289">
        <f t="shared" si="16"/>
        <v>1799369</v>
      </c>
      <c r="H43" s="289">
        <f t="shared" si="16"/>
        <v>0</v>
      </c>
      <c r="I43" s="289">
        <f t="shared" si="16"/>
        <v>3737255</v>
      </c>
      <c r="J43" s="289">
        <f t="shared" si="16"/>
        <v>552881</v>
      </c>
      <c r="K43" s="289">
        <f t="shared" si="16"/>
        <v>4722376</v>
      </c>
      <c r="L43" s="209">
        <f t="shared" si="14"/>
        <v>18381634</v>
      </c>
      <c r="M43">
        <f>YTD!M54-L43</f>
        <v>0</v>
      </c>
    </row>
    <row r="44" spans="1:13" x14ac:dyDescent="0.25">
      <c r="L44" s="206"/>
    </row>
    <row r="45" spans="1:13" x14ac:dyDescent="0.25">
      <c r="A45" s="203" t="s">
        <v>31</v>
      </c>
      <c r="G45">
        <v>0</v>
      </c>
      <c r="L45" s="206"/>
    </row>
    <row r="46" spans="1:13" x14ac:dyDescent="0.25">
      <c r="A46" t="s">
        <v>188</v>
      </c>
      <c r="B46">
        <f>SUM(B47:B48)</f>
        <v>840056</v>
      </c>
      <c r="C46">
        <f t="shared" ref="C46:K46" si="17">SUM(C47:C48)</f>
        <v>217601</v>
      </c>
      <c r="D46">
        <f t="shared" si="17"/>
        <v>235230</v>
      </c>
      <c r="E46">
        <f t="shared" si="17"/>
        <v>971498</v>
      </c>
      <c r="F46">
        <f t="shared" si="17"/>
        <v>239020</v>
      </c>
      <c r="G46">
        <f t="shared" si="17"/>
        <v>933664</v>
      </c>
      <c r="H46">
        <f t="shared" si="17"/>
        <v>0</v>
      </c>
      <c r="I46">
        <f t="shared" si="17"/>
        <v>2588866</v>
      </c>
      <c r="J46">
        <f t="shared" si="17"/>
        <v>52519</v>
      </c>
      <c r="K46">
        <f t="shared" si="17"/>
        <v>2150472</v>
      </c>
      <c r="L46" s="206">
        <f>SUM(L47:L48)</f>
        <v>8228926</v>
      </c>
      <c r="M46">
        <f>YTD!M57-L46</f>
        <v>0</v>
      </c>
    </row>
    <row r="47" spans="1:13" x14ac:dyDescent="0.25">
      <c r="A47" s="17" t="s">
        <v>76</v>
      </c>
      <c r="B47" s="264">
        <f>YTD!C58</f>
        <v>0</v>
      </c>
      <c r="C47" s="264">
        <f>YTD!D58</f>
        <v>217601</v>
      </c>
      <c r="D47" s="264">
        <f>YTD!E58</f>
        <v>235230</v>
      </c>
      <c r="E47" s="264">
        <f>YTD!F58</f>
        <v>969931</v>
      </c>
      <c r="F47" s="264">
        <f>YTD!G58</f>
        <v>239020</v>
      </c>
      <c r="G47" s="264">
        <f>YTD!H58</f>
        <v>933664</v>
      </c>
      <c r="H47" s="264">
        <f>YTD!I58</f>
        <v>0</v>
      </c>
      <c r="I47" s="264">
        <f>YTD!J58</f>
        <v>2195797</v>
      </c>
      <c r="J47" s="264">
        <f>YTD!K58</f>
        <v>52519</v>
      </c>
      <c r="K47" s="264">
        <f>YTD!L58</f>
        <v>2150472</v>
      </c>
      <c r="L47" s="287">
        <f t="shared" ref="L47:L55" si="18">SUM(B47:K47)</f>
        <v>6994234</v>
      </c>
      <c r="M47">
        <f>YTD!M58-L47</f>
        <v>0</v>
      </c>
    </row>
    <row r="48" spans="1:13" x14ac:dyDescent="0.25">
      <c r="A48" s="17" t="s">
        <v>177</v>
      </c>
      <c r="B48" s="265">
        <f>YTD!C59</f>
        <v>840056</v>
      </c>
      <c r="C48" s="265">
        <f>YTD!D59</f>
        <v>0</v>
      </c>
      <c r="D48" s="265">
        <f>YTD!E59</f>
        <v>0</v>
      </c>
      <c r="E48" s="265">
        <f>YTD!F59</f>
        <v>1567</v>
      </c>
      <c r="F48" s="265">
        <f>YTD!G59</f>
        <v>0</v>
      </c>
      <c r="G48" s="265">
        <f>YTD!H59</f>
        <v>0</v>
      </c>
      <c r="H48" s="265">
        <f>YTD!I59</f>
        <v>0</v>
      </c>
      <c r="I48" s="265">
        <f>YTD!J59</f>
        <v>393069</v>
      </c>
      <c r="J48" s="265">
        <f>YTD!K59</f>
        <v>0</v>
      </c>
      <c r="K48" s="265">
        <f>YTD!L59</f>
        <v>0</v>
      </c>
      <c r="L48" s="288">
        <f t="shared" si="18"/>
        <v>1234692</v>
      </c>
      <c r="M48">
        <f>YTD!M59-L48</f>
        <v>0</v>
      </c>
    </row>
    <row r="49" spans="1:13" x14ac:dyDescent="0.25">
      <c r="A49" s="17" t="s">
        <v>185</v>
      </c>
      <c r="B49" s="170">
        <f>YTD!C60</f>
        <v>0</v>
      </c>
      <c r="C49" s="170">
        <f>YTD!D60</f>
        <v>48100</v>
      </c>
      <c r="D49" s="170">
        <f>YTD!E60</f>
        <v>0</v>
      </c>
      <c r="E49" s="170">
        <f>YTD!F60</f>
        <v>0</v>
      </c>
      <c r="F49" s="170">
        <f>YTD!G60</f>
        <v>0</v>
      </c>
      <c r="G49" s="170">
        <f>YTD!H60</f>
        <v>56000</v>
      </c>
      <c r="H49" s="170">
        <f>YTD!I60</f>
        <v>0</v>
      </c>
      <c r="I49" s="170">
        <f>YTD!J60</f>
        <v>0</v>
      </c>
      <c r="J49" s="170">
        <f>YTD!K60</f>
        <v>0</v>
      </c>
      <c r="K49" s="170">
        <f>YTD!L60</f>
        <v>326100</v>
      </c>
      <c r="L49" s="210">
        <f t="shared" si="18"/>
        <v>430200</v>
      </c>
      <c r="M49">
        <f>YTD!M60-L49</f>
        <v>0</v>
      </c>
    </row>
    <row r="50" spans="1:13" x14ac:dyDescent="0.25">
      <c r="A50" s="17" t="s">
        <v>79</v>
      </c>
      <c r="B50" s="170">
        <f>YTD!C61</f>
        <v>1043562</v>
      </c>
      <c r="C50" s="170">
        <f>YTD!D61</f>
        <v>0</v>
      </c>
      <c r="D50" s="170">
        <f>YTD!E61</f>
        <v>0</v>
      </c>
      <c r="E50" s="170">
        <f>YTD!F61</f>
        <v>0</v>
      </c>
      <c r="F50" s="170">
        <f>YTD!G61</f>
        <v>9140</v>
      </c>
      <c r="G50" s="170">
        <f>YTD!H61</f>
        <v>87036</v>
      </c>
      <c r="H50" s="170">
        <f>YTD!I61</f>
        <v>0</v>
      </c>
      <c r="I50" s="170">
        <f>YTD!J61</f>
        <v>0</v>
      </c>
      <c r="J50" s="170">
        <f>YTD!K61</f>
        <v>32813</v>
      </c>
      <c r="K50" s="170">
        <f>YTD!L61</f>
        <v>198930</v>
      </c>
      <c r="L50" s="210">
        <f t="shared" si="18"/>
        <v>1371481</v>
      </c>
      <c r="M50">
        <f>YTD!M61-L50</f>
        <v>0</v>
      </c>
    </row>
    <row r="51" spans="1:13" x14ac:dyDescent="0.25">
      <c r="A51" s="17" t="s">
        <v>182</v>
      </c>
      <c r="B51" s="170">
        <f>YTD!C62</f>
        <v>374838</v>
      </c>
      <c r="C51" s="170">
        <f>YTD!D62</f>
        <v>301619</v>
      </c>
      <c r="D51" s="170">
        <f>YTD!E62</f>
        <v>26106</v>
      </c>
      <c r="E51" s="170">
        <f>YTD!F62</f>
        <v>0</v>
      </c>
      <c r="F51" s="170">
        <f>YTD!G62</f>
        <v>0</v>
      </c>
      <c r="G51" s="170">
        <f>YTD!H62</f>
        <v>0</v>
      </c>
      <c r="H51" s="170">
        <f>YTD!I62</f>
        <v>0</v>
      </c>
      <c r="I51" s="170">
        <f>YTD!J62</f>
        <v>0</v>
      </c>
      <c r="J51" s="170">
        <f>YTD!K62</f>
        <v>146025</v>
      </c>
      <c r="K51" s="170">
        <f>YTD!L62</f>
        <v>470051</v>
      </c>
      <c r="L51" s="210">
        <f t="shared" si="18"/>
        <v>1318639</v>
      </c>
      <c r="M51">
        <f>YTD!M62-L51</f>
        <v>0</v>
      </c>
    </row>
    <row r="52" spans="1:13" x14ac:dyDescent="0.25">
      <c r="A52" s="37" t="s">
        <v>80</v>
      </c>
      <c r="B52" s="170">
        <f>YTD!C63</f>
        <v>381920</v>
      </c>
      <c r="C52" s="170">
        <f>YTD!D63</f>
        <v>76491</v>
      </c>
      <c r="D52" s="170">
        <f>YTD!E63</f>
        <v>28986</v>
      </c>
      <c r="E52" s="170">
        <f>YTD!F63</f>
        <v>139432</v>
      </c>
      <c r="F52" s="170">
        <f>YTD!G63</f>
        <v>16531</v>
      </c>
      <c r="G52" s="170">
        <f>YTD!H63</f>
        <v>122665</v>
      </c>
      <c r="H52" s="170">
        <f>YTD!I63</f>
        <v>0</v>
      </c>
      <c r="I52" s="170">
        <f>YTD!J63</f>
        <v>539092</v>
      </c>
      <c r="J52" s="170">
        <f>YTD!K63</f>
        <v>113969</v>
      </c>
      <c r="K52" s="170">
        <f>YTD!L63</f>
        <v>162721</v>
      </c>
      <c r="L52" s="210">
        <f t="shared" si="18"/>
        <v>1581807</v>
      </c>
      <c r="M52">
        <f>YTD!M63-L52</f>
        <v>0</v>
      </c>
    </row>
    <row r="53" spans="1:13" x14ac:dyDescent="0.25">
      <c r="A53" s="17" t="s">
        <v>32</v>
      </c>
      <c r="B53" s="170">
        <f>YTD!C64</f>
        <v>137150</v>
      </c>
      <c r="C53" s="170">
        <f>YTD!D64</f>
        <v>0</v>
      </c>
      <c r="D53" s="170">
        <f>YTD!E64</f>
        <v>21668</v>
      </c>
      <c r="E53" s="170">
        <f>YTD!F64</f>
        <v>0</v>
      </c>
      <c r="F53" s="170">
        <f>YTD!G64</f>
        <v>7500</v>
      </c>
      <c r="G53" s="170">
        <f>YTD!H64</f>
        <v>0</v>
      </c>
      <c r="H53" s="170">
        <f>YTD!I64</f>
        <v>0</v>
      </c>
      <c r="I53" s="170">
        <f>YTD!J64</f>
        <v>0</v>
      </c>
      <c r="J53" s="170">
        <f>YTD!K64</f>
        <v>86045</v>
      </c>
      <c r="K53" s="170">
        <f>YTD!L64</f>
        <v>0</v>
      </c>
      <c r="L53" s="210">
        <f t="shared" si="18"/>
        <v>252363</v>
      </c>
      <c r="M53">
        <f>YTD!M64-L53</f>
        <v>0</v>
      </c>
    </row>
    <row r="54" spans="1:13" x14ac:dyDescent="0.25">
      <c r="A54" s="37" t="s">
        <v>179</v>
      </c>
      <c r="B54" s="170">
        <f>YTD!C65</f>
        <v>0</v>
      </c>
      <c r="C54" s="170">
        <f>YTD!D65</f>
        <v>0</v>
      </c>
      <c r="D54" s="170">
        <f>YTD!E65</f>
        <v>0</v>
      </c>
      <c r="E54" s="170">
        <f>YTD!F65</f>
        <v>0</v>
      </c>
      <c r="F54" s="170">
        <f>YTD!G65</f>
        <v>0</v>
      </c>
      <c r="G54" s="170">
        <f>YTD!H65</f>
        <v>0</v>
      </c>
      <c r="H54" s="170">
        <f>YTD!I65</f>
        <v>0</v>
      </c>
      <c r="I54" s="170">
        <f>YTD!J65</f>
        <v>0</v>
      </c>
      <c r="J54" s="170">
        <f>YTD!K65</f>
        <v>0</v>
      </c>
      <c r="K54" s="170">
        <f>YTD!L65</f>
        <v>0</v>
      </c>
      <c r="L54" s="210">
        <f t="shared" si="18"/>
        <v>0</v>
      </c>
      <c r="M54">
        <f>YTD!M65-L54</f>
        <v>0</v>
      </c>
    </row>
    <row r="55" spans="1:13" x14ac:dyDescent="0.25">
      <c r="A55" s="198" t="s">
        <v>33</v>
      </c>
      <c r="B55" s="201">
        <f t="shared" ref="B55:K55" si="19">SUM(B47:B54)</f>
        <v>2777526</v>
      </c>
      <c r="C55" s="201">
        <f t="shared" si="19"/>
        <v>643811</v>
      </c>
      <c r="D55" s="201">
        <f t="shared" si="19"/>
        <v>311990</v>
      </c>
      <c r="E55" s="201">
        <f t="shared" si="19"/>
        <v>1110930</v>
      </c>
      <c r="F55" s="201">
        <f t="shared" si="19"/>
        <v>272191</v>
      </c>
      <c r="G55" s="201">
        <f t="shared" si="19"/>
        <v>1199365</v>
      </c>
      <c r="H55" s="201">
        <f t="shared" si="19"/>
        <v>0</v>
      </c>
      <c r="I55" s="201">
        <f t="shared" si="19"/>
        <v>3127958</v>
      </c>
      <c r="J55" s="201">
        <f t="shared" si="19"/>
        <v>431371</v>
      </c>
      <c r="K55" s="201">
        <f t="shared" si="19"/>
        <v>3308274</v>
      </c>
      <c r="L55" s="209">
        <f t="shared" si="18"/>
        <v>13183416</v>
      </c>
      <c r="M55">
        <f>YTD!M66-L55</f>
        <v>0</v>
      </c>
    </row>
    <row r="56" spans="1:13" x14ac:dyDescent="0.25">
      <c r="L56" s="206">
        <v>0</v>
      </c>
    </row>
    <row r="57" spans="1:13" x14ac:dyDescent="0.25">
      <c r="A57" s="17" t="s">
        <v>34</v>
      </c>
      <c r="B57" s="170">
        <f>YTD!C68</f>
        <v>2425</v>
      </c>
      <c r="C57" s="170">
        <f>YTD!D68</f>
        <v>35691</v>
      </c>
      <c r="D57" s="170">
        <f>YTD!E68</f>
        <v>123771</v>
      </c>
      <c r="E57" s="170">
        <f>YTD!F68</f>
        <v>40000</v>
      </c>
      <c r="F57" s="170">
        <f>YTD!G68</f>
        <v>4000</v>
      </c>
      <c r="G57" s="170">
        <f>YTD!H68</f>
        <v>15000</v>
      </c>
      <c r="H57" s="170">
        <f>YTD!I68</f>
        <v>0</v>
      </c>
      <c r="I57" s="170">
        <f>YTD!J68</f>
        <v>1038383</v>
      </c>
      <c r="J57" s="170">
        <f>YTD!K68</f>
        <v>49838</v>
      </c>
      <c r="K57" s="170">
        <f>YTD!L68</f>
        <v>191678</v>
      </c>
      <c r="L57" s="206">
        <f t="shared" ref="L57:L64" si="20">SUM(B57:K57)</f>
        <v>1500786</v>
      </c>
      <c r="M57">
        <f>YTD!M68-L57</f>
        <v>0</v>
      </c>
    </row>
    <row r="58" spans="1:13" x14ac:dyDescent="0.25">
      <c r="A58" s="17" t="s">
        <v>35</v>
      </c>
      <c r="B58" s="170">
        <f>YTD!C69</f>
        <v>0</v>
      </c>
      <c r="C58" s="170">
        <f>YTD!D69</f>
        <v>0</v>
      </c>
      <c r="D58" s="170">
        <f>YTD!E69</f>
        <v>0</v>
      </c>
      <c r="E58" s="170">
        <f>YTD!F69</f>
        <v>0</v>
      </c>
      <c r="F58" s="170">
        <f>YTD!G69</f>
        <v>0</v>
      </c>
      <c r="G58" s="170">
        <f>YTD!H69</f>
        <v>0</v>
      </c>
      <c r="H58" s="170">
        <f>YTD!I69</f>
        <v>0</v>
      </c>
      <c r="I58" s="170">
        <f>YTD!J69</f>
        <v>0</v>
      </c>
      <c r="J58" s="170">
        <f>YTD!K69</f>
        <v>0</v>
      </c>
      <c r="K58" s="170">
        <f>YTD!L69</f>
        <v>0</v>
      </c>
      <c r="L58" s="210">
        <f t="shared" si="20"/>
        <v>0</v>
      </c>
      <c r="M58">
        <f>YTD!M69-L58</f>
        <v>0</v>
      </c>
    </row>
    <row r="59" spans="1:13" x14ac:dyDescent="0.25">
      <c r="A59" s="17" t="s">
        <v>36</v>
      </c>
      <c r="B59" s="170">
        <f>YTD!C70</f>
        <v>0</v>
      </c>
      <c r="C59" s="170">
        <f>YTD!D70</f>
        <v>2824</v>
      </c>
      <c r="D59" s="170">
        <f>YTD!E70</f>
        <v>0</v>
      </c>
      <c r="E59" s="170">
        <f>YTD!F70</f>
        <v>22764</v>
      </c>
      <c r="F59" s="170">
        <f>YTD!G70</f>
        <v>10000</v>
      </c>
      <c r="G59" s="170">
        <f>YTD!H70</f>
        <v>0</v>
      </c>
      <c r="H59" s="170">
        <f>YTD!I70</f>
        <v>0</v>
      </c>
      <c r="I59" s="170">
        <f>YTD!J70</f>
        <v>-467182</v>
      </c>
      <c r="J59" s="170">
        <f>YTD!K70</f>
        <v>110426</v>
      </c>
      <c r="K59" s="170">
        <f>YTD!L70</f>
        <v>0</v>
      </c>
      <c r="L59" s="210">
        <f t="shared" si="20"/>
        <v>-321168</v>
      </c>
      <c r="M59">
        <f>YTD!M70-L59</f>
        <v>0</v>
      </c>
    </row>
    <row r="60" spans="1:13" x14ac:dyDescent="0.25">
      <c r="A60" s="17" t="s">
        <v>184</v>
      </c>
      <c r="B60" s="170">
        <f>YTD!C71</f>
        <v>-318</v>
      </c>
      <c r="C60" s="170">
        <f>YTD!D71</f>
        <v>0</v>
      </c>
      <c r="D60" s="170">
        <f>YTD!E71</f>
        <v>0</v>
      </c>
      <c r="E60" s="170">
        <f>YTD!F71</f>
        <v>0</v>
      </c>
      <c r="F60" s="170">
        <f>YTD!G71</f>
        <v>63743</v>
      </c>
      <c r="G60" s="170">
        <f>YTD!H71</f>
        <v>0</v>
      </c>
      <c r="H60" s="170">
        <f>YTD!I71</f>
        <v>0</v>
      </c>
      <c r="I60" s="170">
        <f>YTD!J71</f>
        <v>38096</v>
      </c>
      <c r="J60" s="170">
        <f>YTD!K71</f>
        <v>0</v>
      </c>
      <c r="K60" s="170">
        <f>YTD!L71</f>
        <v>0</v>
      </c>
      <c r="L60" s="210">
        <f t="shared" si="20"/>
        <v>101521</v>
      </c>
      <c r="M60">
        <f>YTD!M71-L60</f>
        <v>0</v>
      </c>
    </row>
    <row r="61" spans="1:13" x14ac:dyDescent="0.25">
      <c r="A61" s="17" t="s">
        <v>180</v>
      </c>
      <c r="B61" s="170">
        <f>YTD!C72</f>
        <v>-212240</v>
      </c>
      <c r="C61" s="170">
        <f>YTD!D72</f>
        <v>55140</v>
      </c>
      <c r="D61" s="170">
        <f>YTD!E72</f>
        <v>0</v>
      </c>
      <c r="E61" s="170">
        <f>YTD!F72</f>
        <v>0</v>
      </c>
      <c r="F61" s="170">
        <f>YTD!G72</f>
        <v>888</v>
      </c>
      <c r="G61" s="170">
        <f>YTD!H72</f>
        <v>0</v>
      </c>
      <c r="H61" s="170">
        <f>YTD!I72</f>
        <v>0</v>
      </c>
      <c r="I61" s="170">
        <f>YTD!J72</f>
        <v>0</v>
      </c>
      <c r="J61" s="170">
        <f>YTD!K72</f>
        <v>0</v>
      </c>
      <c r="K61" s="170">
        <f>YTD!L72</f>
        <v>68238</v>
      </c>
      <c r="L61" s="210">
        <f t="shared" si="20"/>
        <v>-87974</v>
      </c>
      <c r="M61">
        <f>YTD!M72-L61</f>
        <v>0</v>
      </c>
    </row>
    <row r="62" spans="1:13" x14ac:dyDescent="0.25">
      <c r="A62" s="17" t="s">
        <v>181</v>
      </c>
      <c r="B62" s="170">
        <f>YTD!C73</f>
        <v>0</v>
      </c>
      <c r="C62" s="170">
        <f>YTD!D73</f>
        <v>0</v>
      </c>
      <c r="D62" s="170">
        <f>YTD!E73</f>
        <v>0</v>
      </c>
      <c r="E62" s="170">
        <f>YTD!F73</f>
        <v>0</v>
      </c>
      <c r="F62" s="170">
        <f>YTD!G73</f>
        <v>0</v>
      </c>
      <c r="G62" s="170">
        <f>YTD!H73</f>
        <v>0</v>
      </c>
      <c r="H62" s="170">
        <f>YTD!I73</f>
        <v>0</v>
      </c>
      <c r="I62" s="170">
        <f>YTD!J73</f>
        <v>0</v>
      </c>
      <c r="J62" s="170">
        <f>YTD!K73</f>
        <v>0</v>
      </c>
      <c r="K62" s="170">
        <f>YTD!L73</f>
        <v>0</v>
      </c>
      <c r="L62" s="210">
        <f t="shared" si="20"/>
        <v>0</v>
      </c>
      <c r="M62">
        <f>YTD!M73-L62</f>
        <v>0</v>
      </c>
    </row>
    <row r="63" spans="1:13" x14ac:dyDescent="0.25">
      <c r="A63" s="17" t="s">
        <v>37</v>
      </c>
      <c r="B63" s="170">
        <f>YTD!C74</f>
        <v>2168790</v>
      </c>
      <c r="C63" s="170">
        <f>YTD!D74</f>
        <v>107264</v>
      </c>
      <c r="D63" s="170">
        <f>YTD!E74</f>
        <v>-65787</v>
      </c>
      <c r="E63" s="170">
        <f>YTD!F74</f>
        <v>198851</v>
      </c>
      <c r="F63" s="170">
        <f>YTD!G74</f>
        <v>-104501</v>
      </c>
      <c r="G63" s="170">
        <f>YTD!H74</f>
        <v>585004</v>
      </c>
      <c r="H63" s="170">
        <f>YTD!I74</f>
        <v>0</v>
      </c>
      <c r="I63" s="170">
        <f>YTD!J74</f>
        <v>0</v>
      </c>
      <c r="J63" s="170">
        <f>YTD!K74</f>
        <v>-38754</v>
      </c>
      <c r="K63" s="170">
        <f>YTD!L74</f>
        <v>1154186</v>
      </c>
      <c r="L63" s="210">
        <f t="shared" si="20"/>
        <v>4005053</v>
      </c>
      <c r="M63">
        <f>YTD!M74-L63</f>
        <v>0</v>
      </c>
    </row>
    <row r="64" spans="1:13" x14ac:dyDescent="0.25">
      <c r="B64" s="205"/>
      <c r="C64" s="205"/>
      <c r="D64" s="205"/>
      <c r="E64" s="205"/>
      <c r="F64" s="205"/>
      <c r="G64" s="205"/>
      <c r="H64" s="205"/>
      <c r="I64" s="205"/>
      <c r="J64" s="205"/>
      <c r="K64" s="205"/>
      <c r="L64" s="211">
        <f t="shared" si="20"/>
        <v>0</v>
      </c>
    </row>
    <row r="65" spans="1:13" x14ac:dyDescent="0.25">
      <c r="A65" s="198"/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9">
        <v>0</v>
      </c>
    </row>
    <row r="66" spans="1:13" x14ac:dyDescent="0.25">
      <c r="A66" s="198" t="s">
        <v>38</v>
      </c>
      <c r="B66" s="201">
        <f>SUM(B57:B64)</f>
        <v>1958657</v>
      </c>
      <c r="C66" s="201">
        <f t="shared" ref="C66:L66" si="21">SUM(C57:C64)</f>
        <v>200919</v>
      </c>
      <c r="D66" s="201">
        <f t="shared" si="21"/>
        <v>57984</v>
      </c>
      <c r="E66" s="201">
        <f t="shared" si="21"/>
        <v>261615</v>
      </c>
      <c r="F66" s="201">
        <f t="shared" si="21"/>
        <v>-25870</v>
      </c>
      <c r="G66" s="201">
        <f t="shared" si="21"/>
        <v>600004</v>
      </c>
      <c r="H66" s="201">
        <f t="shared" si="21"/>
        <v>0</v>
      </c>
      <c r="I66" s="201">
        <f t="shared" si="21"/>
        <v>609297</v>
      </c>
      <c r="J66" s="201">
        <f t="shared" si="21"/>
        <v>121510</v>
      </c>
      <c r="K66" s="201">
        <f t="shared" si="21"/>
        <v>1414102</v>
      </c>
      <c r="L66" s="209">
        <f t="shared" si="21"/>
        <v>5198218</v>
      </c>
      <c r="M66" s="198">
        <f>YTD!M76-L66</f>
        <v>0</v>
      </c>
    </row>
    <row r="67" spans="1:13" x14ac:dyDescent="0.25">
      <c r="L67" s="206"/>
    </row>
    <row r="68" spans="1:13" x14ac:dyDescent="0.25">
      <c r="A68" s="201" t="s">
        <v>39</v>
      </c>
      <c r="B68" s="201">
        <f t="shared" ref="B68:K68" si="22">B55+B66</f>
        <v>4736183</v>
      </c>
      <c r="C68" s="201">
        <f t="shared" si="22"/>
        <v>844730</v>
      </c>
      <c r="D68" s="201">
        <f t="shared" si="22"/>
        <v>369974</v>
      </c>
      <c r="E68" s="201">
        <f t="shared" si="22"/>
        <v>1372545</v>
      </c>
      <c r="F68" s="201">
        <f t="shared" si="22"/>
        <v>246321</v>
      </c>
      <c r="G68" s="201">
        <f t="shared" si="22"/>
        <v>1799369</v>
      </c>
      <c r="H68" s="201">
        <f t="shared" si="22"/>
        <v>0</v>
      </c>
      <c r="I68" s="201">
        <f t="shared" si="22"/>
        <v>3737255</v>
      </c>
      <c r="J68" s="201">
        <f t="shared" si="22"/>
        <v>552881</v>
      </c>
      <c r="K68" s="201">
        <f t="shared" si="22"/>
        <v>4722376</v>
      </c>
      <c r="L68" s="209">
        <f>SUM(B68:K68)</f>
        <v>18381634</v>
      </c>
      <c r="M68" s="198">
        <f>YTD!M78-L68</f>
        <v>0</v>
      </c>
    </row>
    <row r="69" spans="1:13" x14ac:dyDescent="0.25">
      <c r="B69" s="299">
        <f>B68-B68</f>
        <v>0</v>
      </c>
      <c r="C69" s="299">
        <f t="shared" ref="C69:M69" si="23">C68-C68</f>
        <v>0</v>
      </c>
      <c r="D69" s="299">
        <f t="shared" si="23"/>
        <v>0</v>
      </c>
      <c r="E69" s="299">
        <f t="shared" si="23"/>
        <v>0</v>
      </c>
      <c r="F69" s="299">
        <f t="shared" si="23"/>
        <v>0</v>
      </c>
      <c r="G69" s="299">
        <f t="shared" si="23"/>
        <v>0</v>
      </c>
      <c r="H69" s="299">
        <f t="shared" si="23"/>
        <v>0</v>
      </c>
      <c r="I69" s="299">
        <f t="shared" si="23"/>
        <v>0</v>
      </c>
      <c r="J69" s="299">
        <f t="shared" si="23"/>
        <v>0</v>
      </c>
      <c r="K69" s="299">
        <f t="shared" si="23"/>
        <v>0</v>
      </c>
      <c r="L69" s="299">
        <f t="shared" si="23"/>
        <v>0</v>
      </c>
      <c r="M69" s="299">
        <f t="shared" si="23"/>
        <v>0</v>
      </c>
    </row>
    <row r="70" spans="1:13" x14ac:dyDescent="0.25">
      <c r="A70" t="s">
        <v>40</v>
      </c>
      <c r="B70" s="170">
        <f>YTD!C80</f>
        <v>0</v>
      </c>
      <c r="C70" s="170">
        <f>YTD!D80</f>
        <v>0</v>
      </c>
      <c r="D70" s="170">
        <f>YTD!E80</f>
        <v>0</v>
      </c>
      <c r="E70" s="170">
        <f>YTD!F80</f>
        <v>0</v>
      </c>
      <c r="F70" s="170">
        <f>YTD!G80</f>
        <v>0</v>
      </c>
      <c r="G70" s="170">
        <f>YTD!H80</f>
        <v>0</v>
      </c>
      <c r="H70" s="170">
        <f>YTD!I80</f>
        <v>0</v>
      </c>
      <c r="I70" s="170">
        <f>YTD!J80</f>
        <v>0</v>
      </c>
      <c r="J70" s="170">
        <f>YTD!K80</f>
        <v>0</v>
      </c>
      <c r="K70" s="170">
        <f>YTD!L80</f>
        <v>0</v>
      </c>
      <c r="L70" s="217">
        <f>SUM(B70:K70)</f>
        <v>0</v>
      </c>
      <c r="M70" s="198">
        <f>YTD!M80-L70</f>
        <v>0</v>
      </c>
    </row>
    <row r="71" spans="1:13" x14ac:dyDescent="0.25">
      <c r="A71" t="s">
        <v>41</v>
      </c>
      <c r="B71" s="170">
        <f>YTD!C81</f>
        <v>0</v>
      </c>
      <c r="C71" s="170">
        <f>YTD!D81</f>
        <v>0</v>
      </c>
      <c r="D71" s="170">
        <f>YTD!E81</f>
        <v>0</v>
      </c>
      <c r="E71" s="170">
        <f>YTD!F81</f>
        <v>0</v>
      </c>
      <c r="F71" s="170">
        <f>YTD!G81</f>
        <v>0</v>
      </c>
      <c r="G71" s="170">
        <f>YTD!H81</f>
        <v>0</v>
      </c>
      <c r="H71" s="170">
        <f>YTD!I81</f>
        <v>0</v>
      </c>
      <c r="I71" s="170">
        <f>YTD!J81</f>
        <v>0</v>
      </c>
      <c r="J71" s="170">
        <f>YTD!K81</f>
        <v>0</v>
      </c>
      <c r="K71" s="170">
        <f>YTD!L81</f>
        <v>0</v>
      </c>
      <c r="L71" s="217">
        <f>SUM(B71:K71)</f>
        <v>0</v>
      </c>
      <c r="M71" s="198">
        <f>YTD!M81-L71</f>
        <v>0</v>
      </c>
    </row>
    <row r="72" spans="1:13" x14ac:dyDescent="0.25">
      <c r="A72" s="201" t="s">
        <v>42</v>
      </c>
      <c r="B72" s="201">
        <f>SUM(B70:B71)</f>
        <v>0</v>
      </c>
      <c r="C72" s="201">
        <f t="shared" ref="C72:L72" si="24">SUM(C70:C71)</f>
        <v>0</v>
      </c>
      <c r="D72" s="201">
        <f t="shared" si="24"/>
        <v>0</v>
      </c>
      <c r="E72" s="201">
        <f t="shared" si="24"/>
        <v>0</v>
      </c>
      <c r="F72" s="201">
        <f t="shared" si="24"/>
        <v>0</v>
      </c>
      <c r="G72" s="201">
        <f t="shared" si="24"/>
        <v>0</v>
      </c>
      <c r="H72" s="201">
        <f t="shared" si="24"/>
        <v>0</v>
      </c>
      <c r="I72" s="201">
        <f t="shared" si="24"/>
        <v>0</v>
      </c>
      <c r="J72" s="201">
        <f t="shared" si="24"/>
        <v>0</v>
      </c>
      <c r="K72" s="201">
        <f t="shared" si="24"/>
        <v>0</v>
      </c>
      <c r="L72" s="201">
        <f t="shared" si="24"/>
        <v>0</v>
      </c>
      <c r="M72" s="198">
        <f>YTD!M82-L72</f>
        <v>0</v>
      </c>
    </row>
    <row r="73" spans="1:13" x14ac:dyDescent="0.25">
      <c r="A73" t="s">
        <v>55</v>
      </c>
      <c r="B73" s="170">
        <f>YTD!C98</f>
        <v>1885524</v>
      </c>
      <c r="C73" s="170">
        <f>YTD!D98</f>
        <v>199919</v>
      </c>
      <c r="D73" s="170">
        <f>YTD!E98</f>
        <v>44157</v>
      </c>
      <c r="E73" s="170">
        <f>YTD!F98</f>
        <v>261367</v>
      </c>
      <c r="F73" s="170">
        <f>YTD!G98</f>
        <v>89619</v>
      </c>
      <c r="G73" s="170">
        <f>YTD!H98</f>
        <v>580152</v>
      </c>
      <c r="H73" s="170">
        <f>YTD!I98</f>
        <v>0</v>
      </c>
      <c r="I73" s="170">
        <f>YTD!J98</f>
        <v>558185</v>
      </c>
      <c r="J73" s="170">
        <f>YTD!K98</f>
        <v>114418</v>
      </c>
      <c r="K73" s="170">
        <f>YTD!L98</f>
        <v>1331485</v>
      </c>
      <c r="L73" s="210">
        <f>SUM(B73:K73)</f>
        <v>5064826</v>
      </c>
      <c r="M73" s="198">
        <f>YTD!M98-L73</f>
        <v>0</v>
      </c>
    </row>
    <row r="74" spans="1:13" x14ac:dyDescent="0.25">
      <c r="A74" t="s">
        <v>56</v>
      </c>
      <c r="B74" s="170">
        <f>YTD!C99</f>
        <v>0</v>
      </c>
      <c r="C74" s="170">
        <f>YTD!D99</f>
        <v>0</v>
      </c>
      <c r="D74" s="170">
        <f>YTD!E99</f>
        <v>0</v>
      </c>
      <c r="E74" s="170">
        <f>YTD!F99</f>
        <v>0</v>
      </c>
      <c r="F74" s="170">
        <f>YTD!G99</f>
        <v>0</v>
      </c>
      <c r="G74" s="170">
        <f>YTD!H99</f>
        <v>0</v>
      </c>
      <c r="H74" s="170">
        <f>YTD!I99</f>
        <v>0</v>
      </c>
      <c r="I74" s="170">
        <f>YTD!J99</f>
        <v>4466</v>
      </c>
      <c r="J74" s="170">
        <f>YTD!K99</f>
        <v>0</v>
      </c>
      <c r="K74" s="170">
        <f>YTD!L99</f>
        <v>26895</v>
      </c>
      <c r="L74" s="211">
        <f>SUM(B74:K74)</f>
        <v>31361</v>
      </c>
      <c r="M74" s="198">
        <f>YTD!M99-L74</f>
        <v>0</v>
      </c>
    </row>
    <row r="75" spans="1:13" x14ac:dyDescent="0.25">
      <c r="A75" t="s">
        <v>57</v>
      </c>
      <c r="B75" s="201">
        <f>YTD!C100</f>
        <v>1885524</v>
      </c>
      <c r="C75" s="201">
        <f t="shared" ref="C75:K75" si="25">SUM(C73:C74)</f>
        <v>199919</v>
      </c>
      <c r="D75" s="201">
        <f t="shared" si="25"/>
        <v>44157</v>
      </c>
      <c r="E75" s="201">
        <f t="shared" si="25"/>
        <v>261367</v>
      </c>
      <c r="F75" s="201">
        <f t="shared" si="25"/>
        <v>89619</v>
      </c>
      <c r="G75" s="201">
        <f t="shared" si="25"/>
        <v>580152</v>
      </c>
      <c r="H75" s="201">
        <f t="shared" si="25"/>
        <v>0</v>
      </c>
      <c r="I75" s="201">
        <f t="shared" si="25"/>
        <v>562651</v>
      </c>
      <c r="J75" s="201">
        <f t="shared" si="25"/>
        <v>114418</v>
      </c>
      <c r="K75" s="201">
        <f t="shared" si="25"/>
        <v>1358380</v>
      </c>
      <c r="L75" s="209">
        <f>SUM(L73:L74)</f>
        <v>5096187</v>
      </c>
      <c r="M75" s="198">
        <f>YTD!M100-L75</f>
        <v>0</v>
      </c>
    </row>
    <row r="76" spans="1:13" x14ac:dyDescent="0.25">
      <c r="A76" t="s">
        <v>162</v>
      </c>
      <c r="B76" s="198">
        <f>YTD!C95</f>
        <v>5697185</v>
      </c>
      <c r="C76" s="198">
        <f>YTD!D95</f>
        <v>429971</v>
      </c>
      <c r="D76" s="198">
        <f>YTD!E95</f>
        <v>399994</v>
      </c>
      <c r="E76" s="198">
        <f>YTD!F95</f>
        <v>890686</v>
      </c>
      <c r="F76" s="198">
        <f>YTD!G95</f>
        <v>234212</v>
      </c>
      <c r="G76" s="198">
        <f>YTD!H95</f>
        <v>1897503</v>
      </c>
      <c r="H76" s="198">
        <f>YTD!I95</f>
        <v>0</v>
      </c>
      <c r="I76" s="198">
        <f>YTD!J95</f>
        <v>2491964</v>
      </c>
      <c r="J76" s="198">
        <f>YTD!K95</f>
        <v>680424</v>
      </c>
      <c r="K76" s="198">
        <f>YTD!L95</f>
        <v>3380819</v>
      </c>
      <c r="L76" s="198">
        <f>YTD!M95</f>
        <v>16102758</v>
      </c>
      <c r="M76" s="198">
        <f>YTD!M95-L76</f>
        <v>0</v>
      </c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3"/>
  <sheetViews>
    <sheetView topLeftCell="B81" zoomScaleNormal="100" workbookViewId="0">
      <selection activeCell="C100" sqref="C100:L101"/>
    </sheetView>
  </sheetViews>
  <sheetFormatPr defaultColWidth="9.140625" defaultRowHeight="12.75" outlineLevelRow="1" outlineLevelCol="1" x14ac:dyDescent="0.25"/>
  <cols>
    <col min="1" max="1" width="2.42578125" style="1" customWidth="1"/>
    <col min="2" max="2" width="39.140625" style="3" bestFit="1" customWidth="1"/>
    <col min="3" max="3" width="11.5703125" style="3" customWidth="1" outlineLevel="1"/>
    <col min="4" max="4" width="13.42578125" style="3" customWidth="1" outlineLevel="1"/>
    <col min="5" max="6" width="10.7109375" style="3" customWidth="1" outlineLevel="1"/>
    <col min="7" max="7" width="12.5703125" style="3" customWidth="1" outlineLevel="1"/>
    <col min="8" max="8" width="15.42578125" style="3" customWidth="1" outlineLevel="1"/>
    <col min="9" max="10" width="11.28515625" style="3" customWidth="1" outlineLevel="1"/>
    <col min="11" max="11" width="14" style="3" customWidth="1" outlineLevel="1"/>
    <col min="12" max="12" width="11.5703125" style="3" customWidth="1" outlineLevel="1"/>
    <col min="13" max="13" width="14" style="115" bestFit="1" customWidth="1"/>
    <col min="14" max="16384" width="9.140625" style="3"/>
  </cols>
  <sheetData>
    <row r="1" spans="1:14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2"/>
    </row>
    <row r="3" spans="1:14" ht="13.9" hidden="1" customHeight="1" outlineLevel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6">
        <v>1</v>
      </c>
    </row>
    <row r="4" spans="1:14" ht="13.9" hidden="1" customHeight="1" outlineLevel="1" x14ac:dyDescent="0.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6">
        <v>2</v>
      </c>
    </row>
    <row r="5" spans="1:14" ht="13.9" hidden="1" customHeight="1" outlineLevel="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6">
        <v>3</v>
      </c>
    </row>
    <row r="6" spans="1:14" ht="13.9" hidden="1" customHeight="1" outlineLevel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collapsed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s="11" customFormat="1" ht="12.75" customHeight="1" x14ac:dyDescent="0.25">
      <c r="A8" s="1"/>
      <c r="B8" s="7" t="s">
        <v>3</v>
      </c>
      <c r="C8" s="8"/>
      <c r="D8" s="8"/>
      <c r="E8" s="8"/>
      <c r="F8" s="8"/>
      <c r="G8" s="9"/>
      <c r="H8" s="9"/>
      <c r="I8" s="9"/>
      <c r="J8" s="9"/>
      <c r="K8" s="9"/>
      <c r="L8" s="8"/>
      <c r="M8" s="116"/>
    </row>
    <row r="9" spans="1:14" s="11" customFormat="1" ht="13.5" thickBot="1" x14ac:dyDescent="0.3">
      <c r="A9" s="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17"/>
    </row>
    <row r="10" spans="1:14" s="11" customFormat="1" ht="14.45" customHeight="1" thickTop="1" x14ac:dyDescent="0.25">
      <c r="A10" s="1"/>
      <c r="B10" s="14"/>
      <c r="C10" s="15" t="s">
        <v>65</v>
      </c>
      <c r="D10" s="15" t="s">
        <v>66</v>
      </c>
      <c r="E10" s="15" t="s">
        <v>67</v>
      </c>
      <c r="F10" s="15" t="s">
        <v>83</v>
      </c>
      <c r="G10" s="15" t="s">
        <v>82</v>
      </c>
      <c r="H10" s="15" t="s">
        <v>68</v>
      </c>
      <c r="I10" s="15" t="s">
        <v>69</v>
      </c>
      <c r="J10" s="15" t="s">
        <v>161</v>
      </c>
      <c r="K10" s="15" t="s">
        <v>70</v>
      </c>
      <c r="L10" s="15" t="s">
        <v>71</v>
      </c>
      <c r="M10" s="118" t="s">
        <v>4</v>
      </c>
    </row>
    <row r="11" spans="1:14" s="11" customFormat="1" x14ac:dyDescent="0.25">
      <c r="A11" s="1"/>
      <c r="B11" s="14"/>
      <c r="C11" s="16">
        <f>Data!C3</f>
        <v>46112</v>
      </c>
      <c r="D11" s="16">
        <f>C11</f>
        <v>46112</v>
      </c>
      <c r="E11" s="16">
        <f t="shared" ref="E11:L11" si="0">D11</f>
        <v>46112</v>
      </c>
      <c r="F11" s="16">
        <f t="shared" si="0"/>
        <v>46112</v>
      </c>
      <c r="G11" s="16">
        <f t="shared" si="0"/>
        <v>46112</v>
      </c>
      <c r="H11" s="16">
        <f t="shared" si="0"/>
        <v>46112</v>
      </c>
      <c r="I11" s="16">
        <f t="shared" si="0"/>
        <v>46112</v>
      </c>
      <c r="J11" s="16">
        <f t="shared" si="0"/>
        <v>46112</v>
      </c>
      <c r="K11" s="16">
        <f t="shared" si="0"/>
        <v>46112</v>
      </c>
      <c r="L11" s="16">
        <f t="shared" si="0"/>
        <v>46112</v>
      </c>
      <c r="M11" s="119"/>
    </row>
    <row r="12" spans="1:14" ht="16.5" customHeight="1" x14ac:dyDescent="0.25">
      <c r="B12" s="17"/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/>
      <c r="K12" s="18" t="s">
        <v>5</v>
      </c>
      <c r="L12" s="18" t="s">
        <v>5</v>
      </c>
      <c r="M12" s="120" t="s">
        <v>5</v>
      </c>
    </row>
    <row r="13" spans="1:14" x14ac:dyDescent="0.25">
      <c r="B13" s="17" t="s">
        <v>6</v>
      </c>
      <c r="C13" s="19">
        <f>SUM(C14:C15)</f>
        <v>308400</v>
      </c>
      <c r="D13" s="19">
        <f t="shared" ref="D13:L13" si="1">SUM(D14:D15)</f>
        <v>72351</v>
      </c>
      <c r="E13" s="19">
        <f t="shared" ref="E13" si="2">SUM(E14:E15)</f>
        <v>38103</v>
      </c>
      <c r="F13" s="19">
        <f t="shared" si="1"/>
        <v>58058</v>
      </c>
      <c r="G13" s="19">
        <f t="shared" si="1"/>
        <v>18200</v>
      </c>
      <c r="H13" s="19">
        <f t="shared" si="1"/>
        <v>107491</v>
      </c>
      <c r="I13" s="19">
        <f t="shared" si="1"/>
        <v>0</v>
      </c>
      <c r="J13" s="19">
        <f t="shared" si="1"/>
        <v>212815</v>
      </c>
      <c r="K13" s="19">
        <f t="shared" si="1"/>
        <v>60208</v>
      </c>
      <c r="L13" s="19">
        <f t="shared" si="1"/>
        <v>194168</v>
      </c>
      <c r="M13" s="121">
        <f t="shared" ref="M13" si="3">SUM(M14:M15)</f>
        <v>1069794</v>
      </c>
      <c r="N13" s="19">
        <f>'Q1'!M13-M13</f>
        <v>0</v>
      </c>
    </row>
    <row r="14" spans="1:14" ht="15" outlineLevel="1" x14ac:dyDescent="0.25">
      <c r="B14" s="23" t="s">
        <v>166</v>
      </c>
      <c r="C14" s="170">
        <v>307719</v>
      </c>
      <c r="D14" s="170">
        <v>60927</v>
      </c>
      <c r="E14" s="262">
        <v>37316</v>
      </c>
      <c r="F14" s="170">
        <v>54204</v>
      </c>
      <c r="G14" s="170">
        <v>16937</v>
      </c>
      <c r="H14" s="170">
        <v>107491</v>
      </c>
      <c r="I14" s="170"/>
      <c r="J14" s="170">
        <v>186598</v>
      </c>
      <c r="K14" s="170">
        <v>60208</v>
      </c>
      <c r="L14" s="170">
        <v>167548</v>
      </c>
      <c r="M14" s="223">
        <f>SUM(C14:L14)</f>
        <v>998948</v>
      </c>
      <c r="N14" s="19">
        <f>'Q1'!M14-M14</f>
        <v>0</v>
      </c>
    </row>
    <row r="15" spans="1:14" ht="15" outlineLevel="1" x14ac:dyDescent="0.25">
      <c r="B15" s="23" t="s">
        <v>8</v>
      </c>
      <c r="C15" s="170">
        <v>681</v>
      </c>
      <c r="D15" s="170">
        <v>11424</v>
      </c>
      <c r="E15" s="26">
        <v>787</v>
      </c>
      <c r="F15" s="170">
        <v>3854</v>
      </c>
      <c r="G15" s="170">
        <v>1263</v>
      </c>
      <c r="H15" s="170"/>
      <c r="I15" s="170"/>
      <c r="J15" s="170">
        <v>26217</v>
      </c>
      <c r="K15" s="170"/>
      <c r="L15" s="170">
        <v>26620</v>
      </c>
      <c r="M15" s="223">
        <f>SUM(C15:L15)</f>
        <v>70846</v>
      </c>
      <c r="N15" s="19">
        <f>'Q1'!M15-M15</f>
        <v>0</v>
      </c>
    </row>
    <row r="16" spans="1:14" outlineLevel="1" x14ac:dyDescent="0.25">
      <c r="B16" s="17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21"/>
      <c r="N16" s="19">
        <f>'Q1'!M16-M16</f>
        <v>0</v>
      </c>
    </row>
    <row r="17" spans="1:15" x14ac:dyDescent="0.25">
      <c r="B17" s="17" t="s">
        <v>9</v>
      </c>
      <c r="C17" s="27">
        <f t="shared" ref="C17:M17" si="4">SUM(C18:C20)</f>
        <v>-106010</v>
      </c>
      <c r="D17" s="27">
        <f t="shared" si="4"/>
        <v>-26906</v>
      </c>
      <c r="E17" s="27">
        <f t="shared" ref="E17" si="5">SUM(E18:E20)</f>
        <v>-10913</v>
      </c>
      <c r="F17" s="27">
        <f t="shared" si="4"/>
        <v>-40241</v>
      </c>
      <c r="G17" s="27">
        <f t="shared" si="4"/>
        <v>-10978</v>
      </c>
      <c r="H17" s="27">
        <f t="shared" si="4"/>
        <v>-53683</v>
      </c>
      <c r="I17" s="27">
        <f t="shared" si="4"/>
        <v>0</v>
      </c>
      <c r="J17" s="27">
        <f t="shared" si="4"/>
        <v>-39967</v>
      </c>
      <c r="K17" s="27">
        <f t="shared" si="4"/>
        <v>-14723</v>
      </c>
      <c r="L17" s="27">
        <f t="shared" si="4"/>
        <v>-81828</v>
      </c>
      <c r="M17" s="124">
        <f t="shared" si="4"/>
        <v>-385249</v>
      </c>
      <c r="N17" s="19">
        <f>'Q1'!M17-M17</f>
        <v>0</v>
      </c>
      <c r="O17" s="19"/>
    </row>
    <row r="18" spans="1:15" ht="15" outlineLevel="1" x14ac:dyDescent="0.25">
      <c r="A18" s="28"/>
      <c r="B18" s="23" t="s">
        <v>167</v>
      </c>
      <c r="C18" s="170">
        <v>-30086</v>
      </c>
      <c r="D18" s="170">
        <v>-8357</v>
      </c>
      <c r="E18" s="24">
        <v>-8892</v>
      </c>
      <c r="F18" s="170">
        <v>-39327</v>
      </c>
      <c r="G18" s="170">
        <v>-8694</v>
      </c>
      <c r="H18" s="170">
        <v>-45880</v>
      </c>
      <c r="I18" s="170"/>
      <c r="J18" s="170">
        <v>-39967</v>
      </c>
      <c r="K18" s="170">
        <v>-5545</v>
      </c>
      <c r="L18" s="170">
        <v>-55070</v>
      </c>
      <c r="M18" s="223">
        <f t="shared" ref="M18:M20" si="6">SUM(C18:L18)</f>
        <v>-241818</v>
      </c>
      <c r="N18" s="19">
        <f>'Q1'!M18-M18</f>
        <v>0</v>
      </c>
    </row>
    <row r="19" spans="1:15" ht="15" outlineLevel="1" x14ac:dyDescent="0.25">
      <c r="A19" s="28"/>
      <c r="B19" s="23" t="s">
        <v>186</v>
      </c>
      <c r="C19" s="170">
        <v>-75924</v>
      </c>
      <c r="D19" s="170">
        <v>-18549</v>
      </c>
      <c r="E19" s="26">
        <v>-2021</v>
      </c>
      <c r="F19" s="170"/>
      <c r="G19" s="170">
        <v>-1669</v>
      </c>
      <c r="H19" s="170">
        <v>-7803</v>
      </c>
      <c r="I19" s="170"/>
      <c r="J19" s="170"/>
      <c r="K19" s="170">
        <v>-8900</v>
      </c>
      <c r="L19" s="170">
        <v>-26758</v>
      </c>
      <c r="M19" s="223">
        <f t="shared" si="6"/>
        <v>-141624</v>
      </c>
      <c r="N19" s="19">
        <f>'Q1'!M19-M19</f>
        <v>0</v>
      </c>
    </row>
    <row r="20" spans="1:15" ht="15" outlineLevel="1" x14ac:dyDescent="0.25">
      <c r="A20" s="28"/>
      <c r="B20" s="23" t="s">
        <v>168</v>
      </c>
      <c r="C20" s="170"/>
      <c r="D20" s="170"/>
      <c r="E20" s="262"/>
      <c r="F20" s="170">
        <v>-914</v>
      </c>
      <c r="G20" s="170">
        <v>-615</v>
      </c>
      <c r="H20" s="170"/>
      <c r="I20" s="170"/>
      <c r="J20" s="170"/>
      <c r="K20" s="170">
        <v>-278</v>
      </c>
      <c r="L20" s="170"/>
      <c r="M20" s="223">
        <f t="shared" si="6"/>
        <v>-1807</v>
      </c>
      <c r="N20" s="19">
        <f>'Q1'!M20-M20</f>
        <v>0</v>
      </c>
    </row>
    <row r="21" spans="1:15" s="11" customFormat="1" ht="15" x14ac:dyDescent="0.25">
      <c r="A21" s="28"/>
      <c r="B21" s="30" t="s">
        <v>12</v>
      </c>
      <c r="C21" s="31">
        <f t="shared" ref="C21:L21" si="7">C13+C17</f>
        <v>202390</v>
      </c>
      <c r="D21" s="31">
        <f t="shared" si="7"/>
        <v>45445</v>
      </c>
      <c r="E21" s="31">
        <f t="shared" si="7"/>
        <v>27190</v>
      </c>
      <c r="F21" s="31">
        <f t="shared" si="7"/>
        <v>17817</v>
      </c>
      <c r="G21" s="31">
        <f t="shared" si="7"/>
        <v>7222</v>
      </c>
      <c r="H21" s="31">
        <f t="shared" si="7"/>
        <v>53808</v>
      </c>
      <c r="I21" s="31">
        <f t="shared" si="7"/>
        <v>0</v>
      </c>
      <c r="J21" s="31">
        <f t="shared" si="7"/>
        <v>172848</v>
      </c>
      <c r="K21" s="31">
        <f t="shared" si="7"/>
        <v>45485</v>
      </c>
      <c r="L21" s="31">
        <f t="shared" si="7"/>
        <v>112340</v>
      </c>
      <c r="M21" s="224">
        <f t="shared" ref="M21:M23" si="8">SUM(C21:L21)</f>
        <v>684545</v>
      </c>
      <c r="N21" s="19">
        <f>'Q1'!M21-M21</f>
        <v>0</v>
      </c>
    </row>
    <row r="22" spans="1:15" ht="15" x14ac:dyDescent="0.25">
      <c r="A22" s="28"/>
      <c r="B22" s="17" t="s">
        <v>169</v>
      </c>
      <c r="C22" s="170">
        <v>-8880</v>
      </c>
      <c r="D22" s="170">
        <v>-5289</v>
      </c>
      <c r="E22" s="262">
        <v>-2536</v>
      </c>
      <c r="F22" s="170">
        <v>-5058</v>
      </c>
      <c r="G22" s="170">
        <v>-17120</v>
      </c>
      <c r="H22" s="170">
        <v>-2151</v>
      </c>
      <c r="I22" s="170"/>
      <c r="J22" s="170">
        <v>-11880</v>
      </c>
      <c r="K22" s="170">
        <v>-1552</v>
      </c>
      <c r="L22" s="170">
        <v>-823</v>
      </c>
      <c r="M22" s="223">
        <f t="shared" si="8"/>
        <v>-55289</v>
      </c>
      <c r="N22" s="19">
        <f>'Q1'!M22-M22</f>
        <v>0</v>
      </c>
    </row>
    <row r="23" spans="1:15" ht="15" x14ac:dyDescent="0.25">
      <c r="A23" s="28"/>
      <c r="B23" s="30" t="s">
        <v>170</v>
      </c>
      <c r="C23" s="21">
        <f t="shared" ref="C23:L23" si="9">C21+C22</f>
        <v>193510</v>
      </c>
      <c r="D23" s="21">
        <f t="shared" si="9"/>
        <v>40156</v>
      </c>
      <c r="E23" s="21">
        <f t="shared" si="9"/>
        <v>24654</v>
      </c>
      <c r="F23" s="21">
        <f t="shared" si="9"/>
        <v>12759</v>
      </c>
      <c r="G23" s="21">
        <f t="shared" si="9"/>
        <v>-9898</v>
      </c>
      <c r="H23" s="21">
        <f t="shared" si="9"/>
        <v>51657</v>
      </c>
      <c r="I23" s="21">
        <f t="shared" si="9"/>
        <v>0</v>
      </c>
      <c r="J23" s="21">
        <f t="shared" si="9"/>
        <v>160968</v>
      </c>
      <c r="K23" s="21">
        <f t="shared" si="9"/>
        <v>43933</v>
      </c>
      <c r="L23" s="21">
        <f t="shared" si="9"/>
        <v>111517</v>
      </c>
      <c r="M23" s="223">
        <f t="shared" si="8"/>
        <v>629256</v>
      </c>
      <c r="N23" s="19">
        <f>'Q1'!M23-M23</f>
        <v>0</v>
      </c>
    </row>
    <row r="24" spans="1:15" ht="9.6" customHeight="1" x14ac:dyDescent="0.25">
      <c r="A24" s="28"/>
      <c r="B24" s="33"/>
      <c r="C24" s="19"/>
      <c r="D24" s="21"/>
      <c r="E24" s="19"/>
      <c r="F24" s="19"/>
      <c r="G24" s="19"/>
      <c r="H24" s="19"/>
      <c r="I24" s="21"/>
      <c r="J24" s="21"/>
      <c r="K24" s="21"/>
      <c r="L24" s="21"/>
      <c r="M24" s="125"/>
      <c r="N24" s="19">
        <f>'Q1'!M24-M24</f>
        <v>0</v>
      </c>
    </row>
    <row r="25" spans="1:15" s="11" customFormat="1" ht="15" x14ac:dyDescent="0.25">
      <c r="A25" s="28"/>
      <c r="B25" s="32" t="s">
        <v>173</v>
      </c>
      <c r="C25" s="27">
        <f t="shared" ref="C25:M25" si="10">SUM(C26:C28)</f>
        <v>28383</v>
      </c>
      <c r="D25" s="27">
        <f t="shared" si="10"/>
        <v>8796</v>
      </c>
      <c r="E25" s="27">
        <f t="shared" ref="E25" si="11">SUM(E26:E28)</f>
        <v>-1004</v>
      </c>
      <c r="F25" s="27">
        <f t="shared" si="10"/>
        <v>61231</v>
      </c>
      <c r="G25" s="27">
        <f t="shared" si="10"/>
        <v>2207</v>
      </c>
      <c r="H25" s="27">
        <f t="shared" si="10"/>
        <v>39621</v>
      </c>
      <c r="I25" s="27">
        <f t="shared" si="10"/>
        <v>0</v>
      </c>
      <c r="J25" s="27">
        <f t="shared" si="10"/>
        <v>38392</v>
      </c>
      <c r="K25" s="27">
        <f t="shared" si="10"/>
        <v>17035</v>
      </c>
      <c r="L25" s="27">
        <f t="shared" si="10"/>
        <v>22747</v>
      </c>
      <c r="M25" s="124">
        <f t="shared" si="10"/>
        <v>217408</v>
      </c>
      <c r="N25" s="19">
        <f>'Q1'!M25-M25</f>
        <v>0</v>
      </c>
    </row>
    <row r="26" spans="1:15" s="11" customFormat="1" ht="15" x14ac:dyDescent="0.25">
      <c r="A26" s="28"/>
      <c r="B26" s="34" t="s">
        <v>171</v>
      </c>
      <c r="C26" s="170">
        <v>24207</v>
      </c>
      <c r="D26" s="170">
        <v>8431</v>
      </c>
      <c r="E26" s="29">
        <v>675</v>
      </c>
      <c r="F26" s="170">
        <v>60619</v>
      </c>
      <c r="G26" s="170">
        <v>2207</v>
      </c>
      <c r="H26" s="170">
        <v>39897</v>
      </c>
      <c r="I26" s="170"/>
      <c r="J26" s="170">
        <v>37529</v>
      </c>
      <c r="K26" s="170">
        <v>14098</v>
      </c>
      <c r="L26" s="170">
        <v>17214</v>
      </c>
      <c r="M26" s="223">
        <f t="shared" ref="M26:M28" si="12">SUM(C26:L26)</f>
        <v>204877</v>
      </c>
      <c r="N26" s="19">
        <f>'Q1'!M26-M26</f>
        <v>0</v>
      </c>
    </row>
    <row r="27" spans="1:15" s="11" customFormat="1" ht="15" x14ac:dyDescent="0.25">
      <c r="A27" s="28"/>
      <c r="B27" s="34" t="s">
        <v>172</v>
      </c>
      <c r="C27" s="170">
        <v>2537</v>
      </c>
      <c r="D27" s="170">
        <v>-876</v>
      </c>
      <c r="E27" s="29">
        <v>1073</v>
      </c>
      <c r="F27" s="170">
        <v>489</v>
      </c>
      <c r="G27" s="170"/>
      <c r="H27" s="170">
        <v>-276</v>
      </c>
      <c r="I27" s="170"/>
      <c r="J27" s="170"/>
      <c r="K27" s="170">
        <v>128</v>
      </c>
      <c r="L27" s="170"/>
      <c r="M27" s="223">
        <f t="shared" si="12"/>
        <v>3075</v>
      </c>
      <c r="N27" s="19">
        <f>'Q1'!M27-M27</f>
        <v>0</v>
      </c>
    </row>
    <row r="28" spans="1:15" s="11" customFormat="1" ht="15" x14ac:dyDescent="0.25">
      <c r="A28" s="28"/>
      <c r="B28" s="34" t="s">
        <v>17</v>
      </c>
      <c r="C28" s="170">
        <v>1639</v>
      </c>
      <c r="D28" s="170">
        <v>1241</v>
      </c>
      <c r="E28" s="29">
        <v>-2752</v>
      </c>
      <c r="F28" s="170">
        <v>123</v>
      </c>
      <c r="G28" s="170"/>
      <c r="H28" s="170"/>
      <c r="I28" s="170"/>
      <c r="J28" s="170">
        <v>863</v>
      </c>
      <c r="K28" s="170">
        <v>2809</v>
      </c>
      <c r="L28" s="170">
        <v>5533</v>
      </c>
      <c r="M28" s="224">
        <f t="shared" si="12"/>
        <v>9456</v>
      </c>
      <c r="N28" s="19">
        <f>'Q1'!M28-M28</f>
        <v>0</v>
      </c>
    </row>
    <row r="29" spans="1:15" s="11" customFormat="1" ht="15" x14ac:dyDescent="0.25">
      <c r="A29" s="28"/>
      <c r="B29" s="32" t="s">
        <v>18</v>
      </c>
      <c r="C29" s="36">
        <f t="shared" ref="C29:M29" si="13">C23+C25</f>
        <v>221893</v>
      </c>
      <c r="D29" s="36">
        <f t="shared" si="13"/>
        <v>48952</v>
      </c>
      <c r="E29" s="36">
        <f t="shared" si="13"/>
        <v>23650</v>
      </c>
      <c r="F29" s="36">
        <f t="shared" si="13"/>
        <v>73990</v>
      </c>
      <c r="G29" s="36">
        <f t="shared" si="13"/>
        <v>-7691</v>
      </c>
      <c r="H29" s="36">
        <f t="shared" si="13"/>
        <v>91278</v>
      </c>
      <c r="I29" s="36">
        <f t="shared" si="13"/>
        <v>0</v>
      </c>
      <c r="J29" s="36">
        <f t="shared" si="13"/>
        <v>199360</v>
      </c>
      <c r="K29" s="36">
        <f>K23+K25</f>
        <v>60968</v>
      </c>
      <c r="L29" s="36">
        <f t="shared" si="13"/>
        <v>134264</v>
      </c>
      <c r="M29" s="124">
        <f t="shared" si="13"/>
        <v>846664</v>
      </c>
      <c r="N29" s="19">
        <f>'Q1'!M29-M29</f>
        <v>0</v>
      </c>
    </row>
    <row r="30" spans="1:15" s="11" customFormat="1" ht="12" customHeight="1" x14ac:dyDescent="0.25">
      <c r="A30" s="28"/>
      <c r="B30" s="34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21"/>
      <c r="N30" s="19">
        <f>'Q1'!M30-M30</f>
        <v>0</v>
      </c>
    </row>
    <row r="31" spans="1:15" s="11" customFormat="1" ht="15" x14ac:dyDescent="0.25">
      <c r="A31" s="28"/>
      <c r="B31" s="32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1"/>
      <c r="N31" s="19">
        <f>'Q1'!M31-M31</f>
        <v>0</v>
      </c>
    </row>
    <row r="32" spans="1:15" s="11" customFormat="1" ht="15" customHeight="1" x14ac:dyDescent="0.25">
      <c r="A32" s="28"/>
      <c r="B32" s="37" t="s">
        <v>20</v>
      </c>
      <c r="C32" s="170">
        <v>-5278</v>
      </c>
      <c r="D32" s="170">
        <v>-2402</v>
      </c>
      <c r="E32" s="39">
        <v>-658</v>
      </c>
      <c r="F32" s="170">
        <v>-3376</v>
      </c>
      <c r="G32" s="170">
        <v>-1220</v>
      </c>
      <c r="H32" s="170">
        <v>-2880</v>
      </c>
      <c r="I32" s="170"/>
      <c r="J32" s="170">
        <v>-5921</v>
      </c>
      <c r="K32" s="170">
        <v>-2603</v>
      </c>
      <c r="L32" s="170">
        <v>-7052</v>
      </c>
      <c r="M32" s="223">
        <f>SUM(C32:L32)</f>
        <v>-31390</v>
      </c>
      <c r="N32" s="19">
        <f>'Q1'!M32-M32</f>
        <v>0</v>
      </c>
    </row>
    <row r="33" spans="1:15" s="11" customFormat="1" ht="11.45" customHeight="1" x14ac:dyDescent="0.25">
      <c r="A33" s="28"/>
      <c r="B33" s="17" t="s">
        <v>21</v>
      </c>
      <c r="C33" s="170">
        <v>-87835</v>
      </c>
      <c r="D33" s="170">
        <v>-36016</v>
      </c>
      <c r="E33" s="39">
        <v>-20252</v>
      </c>
      <c r="F33" s="170">
        <v>-34883</v>
      </c>
      <c r="G33" s="170">
        <v>-11535</v>
      </c>
      <c r="H33" s="170">
        <v>-44919</v>
      </c>
      <c r="I33" s="170"/>
      <c r="J33" s="170">
        <v>-134271</v>
      </c>
      <c r="K33" s="170">
        <v>-44409</v>
      </c>
      <c r="L33" s="170">
        <v>-90951</v>
      </c>
      <c r="M33" s="223">
        <f>SUM(C33:L33)</f>
        <v>-505071</v>
      </c>
      <c r="N33" s="19">
        <f>'Q1'!M33-M33</f>
        <v>0</v>
      </c>
    </row>
    <row r="34" spans="1:15" s="11" customFormat="1" ht="10.5" customHeight="1" x14ac:dyDescent="0.25">
      <c r="A34" s="28"/>
      <c r="B34" s="40" t="s">
        <v>22</v>
      </c>
      <c r="C34" s="41">
        <f>SUM(C32:C33)</f>
        <v>-93113</v>
      </c>
      <c r="D34" s="41">
        <f t="shared" ref="D34:L34" si="14">SUM(D32:D33)</f>
        <v>-38418</v>
      </c>
      <c r="E34" s="41">
        <f t="shared" ref="E34" si="15">SUM(E32:E33)</f>
        <v>-20910</v>
      </c>
      <c r="F34" s="41">
        <f t="shared" si="14"/>
        <v>-38259</v>
      </c>
      <c r="G34" s="41">
        <f t="shared" si="14"/>
        <v>-12755</v>
      </c>
      <c r="H34" s="41">
        <f t="shared" si="14"/>
        <v>-47799</v>
      </c>
      <c r="I34" s="41">
        <f t="shared" si="14"/>
        <v>0</v>
      </c>
      <c r="J34" s="41">
        <f t="shared" si="14"/>
        <v>-140192</v>
      </c>
      <c r="K34" s="41">
        <f t="shared" si="14"/>
        <v>-47012</v>
      </c>
      <c r="L34" s="41">
        <f t="shared" si="14"/>
        <v>-98003</v>
      </c>
      <c r="M34" s="128">
        <f t="shared" ref="M34" si="16">SUM(M32:M33)</f>
        <v>-536461</v>
      </c>
      <c r="N34" s="19">
        <f>'Q1'!M34-M34</f>
        <v>0</v>
      </c>
    </row>
    <row r="35" spans="1:15" s="11" customFormat="1" ht="12.75" customHeight="1" x14ac:dyDescent="0.25">
      <c r="A35" s="28"/>
      <c r="B35" s="1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127"/>
      <c r="N35" s="19">
        <f>'Q1'!M35-M35</f>
        <v>0</v>
      </c>
    </row>
    <row r="36" spans="1:15" s="11" customFormat="1" ht="15" x14ac:dyDescent="0.25">
      <c r="A36" s="28"/>
      <c r="B36" s="40" t="s">
        <v>23</v>
      </c>
      <c r="C36" s="35">
        <f t="shared" ref="C36:M36" si="17">C29+C34</f>
        <v>128780</v>
      </c>
      <c r="D36" s="35">
        <f t="shared" si="17"/>
        <v>10534</v>
      </c>
      <c r="E36" s="35">
        <f t="shared" si="17"/>
        <v>2740</v>
      </c>
      <c r="F36" s="35">
        <f t="shared" si="17"/>
        <v>35731</v>
      </c>
      <c r="G36" s="35">
        <f t="shared" si="17"/>
        <v>-20446</v>
      </c>
      <c r="H36" s="35">
        <f t="shared" si="17"/>
        <v>43479</v>
      </c>
      <c r="I36" s="35">
        <f t="shared" si="17"/>
        <v>0</v>
      </c>
      <c r="J36" s="35">
        <f t="shared" si="17"/>
        <v>59168</v>
      </c>
      <c r="K36" s="35">
        <f t="shared" si="17"/>
        <v>13956</v>
      </c>
      <c r="L36" s="35">
        <f t="shared" si="17"/>
        <v>36261</v>
      </c>
      <c r="M36" s="129">
        <f t="shared" si="17"/>
        <v>310203</v>
      </c>
      <c r="N36" s="19">
        <f>'Q1'!M36-M36</f>
        <v>0</v>
      </c>
    </row>
    <row r="37" spans="1:15" s="11" customFormat="1" ht="15" x14ac:dyDescent="0.25">
      <c r="A37" s="28"/>
      <c r="B37" s="40" t="s">
        <v>24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/>
      <c r="K37" s="42">
        <v>0</v>
      </c>
      <c r="L37" s="42">
        <v>0</v>
      </c>
      <c r="M37" s="122">
        <f>SUM(C37:L37)</f>
        <v>0</v>
      </c>
      <c r="N37" s="19">
        <f>'Q1'!M37-M37</f>
        <v>0</v>
      </c>
    </row>
    <row r="38" spans="1:15" s="11" customFormat="1" ht="15" x14ac:dyDescent="0.25">
      <c r="A38" s="28"/>
      <c r="B38" s="40" t="s">
        <v>25</v>
      </c>
      <c r="C38" s="21">
        <f>SUM(C36:C37)</f>
        <v>128780</v>
      </c>
      <c r="D38" s="21">
        <f t="shared" ref="D38:L38" si="18">SUM(D36:D37)</f>
        <v>10534</v>
      </c>
      <c r="E38" s="21">
        <f t="shared" ref="E38" si="19">SUM(E36:E37)</f>
        <v>2740</v>
      </c>
      <c r="F38" s="21">
        <f t="shared" si="18"/>
        <v>35731</v>
      </c>
      <c r="G38" s="21">
        <f t="shared" si="18"/>
        <v>-20446</v>
      </c>
      <c r="H38" s="21">
        <f t="shared" si="18"/>
        <v>43479</v>
      </c>
      <c r="I38" s="21">
        <f t="shared" si="18"/>
        <v>0</v>
      </c>
      <c r="J38" s="21">
        <f t="shared" si="18"/>
        <v>59168</v>
      </c>
      <c r="K38" s="21">
        <f t="shared" si="18"/>
        <v>13956</v>
      </c>
      <c r="L38" s="21">
        <f t="shared" si="18"/>
        <v>36261</v>
      </c>
      <c r="M38" s="122">
        <f>SUM(C38:L38)</f>
        <v>310203</v>
      </c>
      <c r="N38" s="19">
        <f>'Q1'!M38-M38</f>
        <v>0</v>
      </c>
    </row>
    <row r="39" spans="1:15" ht="15" x14ac:dyDescent="0.25">
      <c r="A39" s="28"/>
      <c r="B39" s="17" t="s">
        <v>26</v>
      </c>
      <c r="C39" s="170">
        <v>-38698</v>
      </c>
      <c r="D39" s="170">
        <v>-3160</v>
      </c>
      <c r="E39" s="26">
        <v>-822</v>
      </c>
      <c r="F39" s="170">
        <v>-12463</v>
      </c>
      <c r="G39" s="170">
        <v>0</v>
      </c>
      <c r="H39" s="170">
        <v>-13044</v>
      </c>
      <c r="I39" s="170"/>
      <c r="J39" s="170"/>
      <c r="K39" s="170">
        <v>-3900</v>
      </c>
      <c r="L39" s="170"/>
      <c r="M39" s="122">
        <f>SUM(C39:L39)</f>
        <v>-72087</v>
      </c>
      <c r="N39" s="19">
        <f>'Q1'!M39-M39</f>
        <v>0</v>
      </c>
    </row>
    <row r="40" spans="1:15" s="11" customFormat="1" ht="15" x14ac:dyDescent="0.25">
      <c r="A40" s="28"/>
      <c r="B40" s="40" t="s">
        <v>27</v>
      </c>
      <c r="C40" s="43">
        <f>SUM(C38:C39)</f>
        <v>90082</v>
      </c>
      <c r="D40" s="43">
        <f t="shared" ref="D40:L40" si="20">SUM(D38:D39)</f>
        <v>7374</v>
      </c>
      <c r="E40" s="43">
        <f t="shared" ref="E40" si="21">SUM(E38:E39)</f>
        <v>1918</v>
      </c>
      <c r="F40" s="43">
        <f t="shared" si="20"/>
        <v>23268</v>
      </c>
      <c r="G40" s="43">
        <f t="shared" si="20"/>
        <v>-20446</v>
      </c>
      <c r="H40" s="43">
        <f t="shared" si="20"/>
        <v>30435</v>
      </c>
      <c r="I40" s="43">
        <f t="shared" si="20"/>
        <v>0</v>
      </c>
      <c r="J40" s="43">
        <f t="shared" si="20"/>
        <v>59168</v>
      </c>
      <c r="K40" s="43">
        <f t="shared" si="20"/>
        <v>10056</v>
      </c>
      <c r="L40" s="43">
        <f t="shared" si="20"/>
        <v>36261</v>
      </c>
      <c r="M40" s="130">
        <f t="shared" ref="M40" si="22">SUM(M38:M39)</f>
        <v>238116</v>
      </c>
      <c r="N40" s="19">
        <f>'Q1'!M40-M40</f>
        <v>0</v>
      </c>
      <c r="O40" s="35"/>
    </row>
    <row r="41" spans="1:15" s="11" customFormat="1" ht="15" x14ac:dyDescent="0.25">
      <c r="A41" s="28"/>
      <c r="B41" s="40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129"/>
    </row>
    <row r="42" spans="1:15" s="11" customFormat="1" ht="15" x14ac:dyDescent="0.25">
      <c r="A42" s="28"/>
      <c r="B42" s="32"/>
      <c r="D42" s="47"/>
      <c r="I42" s="47"/>
      <c r="J42" s="47"/>
      <c r="K42" s="47"/>
      <c r="L42" s="47"/>
      <c r="M42" s="131"/>
    </row>
    <row r="43" spans="1:15" s="11" customFormat="1" ht="15.75" thickBot="1" x14ac:dyDescent="0.3">
      <c r="A43" s="28"/>
      <c r="B43" s="49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17"/>
    </row>
    <row r="44" spans="1:15" s="11" customFormat="1" ht="15.75" thickTop="1" x14ac:dyDescent="0.25">
      <c r="A44" s="28"/>
      <c r="B44" s="50"/>
      <c r="C44" s="16">
        <f>Data!C3</f>
        <v>46112</v>
      </c>
      <c r="D44" s="16">
        <f>C44</f>
        <v>46112</v>
      </c>
      <c r="E44" s="16">
        <f t="shared" ref="E44" si="23">D44</f>
        <v>46112</v>
      </c>
      <c r="F44" s="16">
        <f t="shared" ref="F44:L44" si="24">E44</f>
        <v>46112</v>
      </c>
      <c r="G44" s="16">
        <f>E44</f>
        <v>46112</v>
      </c>
      <c r="H44" s="16">
        <f t="shared" si="24"/>
        <v>46112</v>
      </c>
      <c r="I44" s="16">
        <f t="shared" si="24"/>
        <v>46112</v>
      </c>
      <c r="J44" s="16">
        <f t="shared" si="24"/>
        <v>46112</v>
      </c>
      <c r="K44" s="16">
        <f t="shared" si="24"/>
        <v>46112</v>
      </c>
      <c r="L44" s="16">
        <f t="shared" si="24"/>
        <v>46112</v>
      </c>
      <c r="M44" s="119">
        <f>L44</f>
        <v>46112</v>
      </c>
    </row>
    <row r="45" spans="1:15" s="11" customFormat="1" ht="15" x14ac:dyDescent="0.25">
      <c r="A45" s="28"/>
      <c r="B45" s="50"/>
      <c r="C45" s="18" t="s">
        <v>5</v>
      </c>
      <c r="D45" s="18" t="s">
        <v>5</v>
      </c>
      <c r="E45" s="18" t="s">
        <v>5</v>
      </c>
      <c r="F45" s="18" t="s">
        <v>5</v>
      </c>
      <c r="G45" s="18" t="s">
        <v>5</v>
      </c>
      <c r="H45" s="18" t="s">
        <v>5</v>
      </c>
      <c r="I45" s="18" t="s">
        <v>5</v>
      </c>
      <c r="J45" s="18"/>
      <c r="K45" s="18" t="s">
        <v>5</v>
      </c>
      <c r="L45" s="18" t="s">
        <v>5</v>
      </c>
      <c r="M45" s="120" t="s">
        <v>5</v>
      </c>
    </row>
    <row r="46" spans="1:15" s="11" customFormat="1" ht="18.75" customHeight="1" x14ac:dyDescent="0.25">
      <c r="A46" s="28"/>
      <c r="B46" s="32" t="s">
        <v>29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32"/>
    </row>
    <row r="47" spans="1:15" s="11" customFormat="1" ht="13.5" customHeight="1" x14ac:dyDescent="0.25">
      <c r="A47" s="28"/>
      <c r="B47" s="34" t="s">
        <v>174</v>
      </c>
      <c r="C47" s="170">
        <v>486713</v>
      </c>
      <c r="D47" s="170">
        <v>202079</v>
      </c>
      <c r="E47" s="39">
        <v>85429</v>
      </c>
      <c r="F47" s="170">
        <v>391787</v>
      </c>
      <c r="G47" s="170">
        <v>1986</v>
      </c>
      <c r="H47" s="170">
        <v>194434</v>
      </c>
      <c r="I47" s="170"/>
      <c r="J47" s="170">
        <v>138203</v>
      </c>
      <c r="K47" s="170">
        <v>42815</v>
      </c>
      <c r="L47" s="170">
        <v>421233</v>
      </c>
      <c r="M47" s="223">
        <f>SUM(C47:L47)</f>
        <v>1964679</v>
      </c>
    </row>
    <row r="48" spans="1:15" s="11" customFormat="1" ht="13.5" customHeight="1" x14ac:dyDescent="0.25">
      <c r="A48" s="28"/>
      <c r="B48" s="34" t="s">
        <v>73</v>
      </c>
      <c r="C48" s="170"/>
      <c r="D48" s="170">
        <v>114322</v>
      </c>
      <c r="E48" s="39">
        <v>16777</v>
      </c>
      <c r="F48" s="170"/>
      <c r="G48" s="170">
        <v>34898</v>
      </c>
      <c r="H48" s="170">
        <v>289536</v>
      </c>
      <c r="I48" s="170"/>
      <c r="J48" s="170">
        <v>757718</v>
      </c>
      <c r="K48" s="170"/>
      <c r="L48" s="170">
        <v>611628</v>
      </c>
      <c r="M48" s="223">
        <f t="shared" ref="M48:M50" si="25">SUM(C48:L48)</f>
        <v>1824879</v>
      </c>
    </row>
    <row r="49" spans="1:15" s="11" customFormat="1" ht="13.5" customHeight="1" x14ac:dyDescent="0.25">
      <c r="A49" s="28"/>
      <c r="B49" s="34" t="s">
        <v>74</v>
      </c>
      <c r="C49" s="170">
        <v>3789722</v>
      </c>
      <c r="D49" s="170">
        <v>448156</v>
      </c>
      <c r="E49" s="39">
        <v>218151</v>
      </c>
      <c r="F49" s="170">
        <v>865674</v>
      </c>
      <c r="G49" s="170">
        <v>189780</v>
      </c>
      <c r="H49" s="170">
        <v>1101541</v>
      </c>
      <c r="I49" s="170"/>
      <c r="J49" s="170">
        <v>2296401</v>
      </c>
      <c r="K49" s="170">
        <v>417331</v>
      </c>
      <c r="L49" s="170">
        <v>2619524</v>
      </c>
      <c r="M49" s="223">
        <f t="shared" si="25"/>
        <v>11946280</v>
      </c>
    </row>
    <row r="50" spans="1:15" ht="15" x14ac:dyDescent="0.25">
      <c r="A50" s="28"/>
      <c r="B50" s="34" t="s">
        <v>175</v>
      </c>
      <c r="C50" s="205"/>
      <c r="D50" s="205"/>
      <c r="E50" s="226">
        <v>-32106</v>
      </c>
      <c r="F50" s="205">
        <v>-54301</v>
      </c>
      <c r="G50" s="205"/>
      <c r="H50" s="205"/>
      <c r="I50" s="205"/>
      <c r="J50" s="205"/>
      <c r="K50" s="205">
        <v>-4855</v>
      </c>
      <c r="L50" s="205"/>
      <c r="M50" s="224">
        <f t="shared" si="25"/>
        <v>-91262</v>
      </c>
    </row>
    <row r="51" spans="1:15" ht="15" x14ac:dyDescent="0.25">
      <c r="A51" s="28"/>
      <c r="B51" s="34" t="s">
        <v>176</v>
      </c>
      <c r="C51" s="217">
        <f>SUM(C49:C50)</f>
        <v>3789722</v>
      </c>
      <c r="D51" s="217">
        <f t="shared" ref="D51:M51" si="26">SUM(D49:D50)</f>
        <v>448156</v>
      </c>
      <c r="E51" s="246">
        <f t="shared" ref="E51" si="27">SUM(E49:E50)</f>
        <v>186045</v>
      </c>
      <c r="F51" s="217">
        <f t="shared" si="26"/>
        <v>811373</v>
      </c>
      <c r="G51" s="217">
        <f t="shared" si="26"/>
        <v>189780</v>
      </c>
      <c r="H51" s="217">
        <f t="shared" si="26"/>
        <v>1101541</v>
      </c>
      <c r="I51" s="217">
        <f t="shared" si="26"/>
        <v>0</v>
      </c>
      <c r="J51" s="217">
        <f t="shared" si="26"/>
        <v>2296401</v>
      </c>
      <c r="K51" s="217">
        <f t="shared" si="26"/>
        <v>412476</v>
      </c>
      <c r="L51" s="217">
        <f t="shared" si="26"/>
        <v>2619524</v>
      </c>
      <c r="M51" s="223">
        <f t="shared" si="26"/>
        <v>11855018</v>
      </c>
    </row>
    <row r="52" spans="1:15" ht="15" x14ac:dyDescent="0.25">
      <c r="A52" s="28"/>
      <c r="B52" s="17" t="s">
        <v>77</v>
      </c>
      <c r="C52" s="170">
        <v>44621</v>
      </c>
      <c r="D52" s="170">
        <v>77232</v>
      </c>
      <c r="E52" s="39">
        <v>13042</v>
      </c>
      <c r="F52" s="170">
        <v>17107</v>
      </c>
      <c r="G52" s="170">
        <v>2590</v>
      </c>
      <c r="H52" s="170">
        <v>22504</v>
      </c>
      <c r="I52" s="170"/>
      <c r="J52" s="170">
        <v>133179</v>
      </c>
      <c r="K52" s="170">
        <v>35321</v>
      </c>
      <c r="L52" s="170">
        <v>418327</v>
      </c>
      <c r="M52" s="223">
        <f t="shared" ref="M52:M53" si="28">SUM(C52:L52)</f>
        <v>763923</v>
      </c>
    </row>
    <row r="53" spans="1:15" ht="15" outlineLevel="1" x14ac:dyDescent="0.25">
      <c r="A53" s="28"/>
      <c r="B53" s="17" t="s">
        <v>78</v>
      </c>
      <c r="C53" s="170">
        <v>141838</v>
      </c>
      <c r="D53" s="170">
        <v>15131</v>
      </c>
      <c r="E53" s="39">
        <v>45193</v>
      </c>
      <c r="F53" s="170">
        <v>107401</v>
      </c>
      <c r="G53" s="170">
        <v>30732</v>
      </c>
      <c r="H53" s="170">
        <v>173285</v>
      </c>
      <c r="I53" s="170"/>
      <c r="J53" s="170">
        <v>525109</v>
      </c>
      <c r="K53" s="170">
        <v>49383</v>
      </c>
      <c r="L53" s="170">
        <v>254044</v>
      </c>
      <c r="M53" s="223">
        <f t="shared" si="28"/>
        <v>1342116</v>
      </c>
    </row>
    <row r="54" spans="1:15" ht="13.5" thickBot="1" x14ac:dyDescent="0.3">
      <c r="B54" s="32" t="s">
        <v>30</v>
      </c>
      <c r="C54" s="51">
        <f t="shared" ref="C54:M54" si="29">SUM(C47:C48)+C51+C52+C53</f>
        <v>4462894</v>
      </c>
      <c r="D54" s="51">
        <f t="shared" si="29"/>
        <v>856920</v>
      </c>
      <c r="E54" s="51">
        <f t="shared" si="29"/>
        <v>346486</v>
      </c>
      <c r="F54" s="51">
        <f t="shared" si="29"/>
        <v>1327668</v>
      </c>
      <c r="G54" s="51">
        <f t="shared" si="29"/>
        <v>259986</v>
      </c>
      <c r="H54" s="51">
        <f t="shared" si="29"/>
        <v>1781300</v>
      </c>
      <c r="I54" s="51">
        <f t="shared" si="29"/>
        <v>0</v>
      </c>
      <c r="J54" s="51">
        <f t="shared" si="29"/>
        <v>3850610</v>
      </c>
      <c r="K54" s="51">
        <f t="shared" si="29"/>
        <v>539995</v>
      </c>
      <c r="L54" s="51">
        <f t="shared" si="29"/>
        <v>4324756</v>
      </c>
      <c r="M54" s="51">
        <f t="shared" si="29"/>
        <v>17750615</v>
      </c>
      <c r="N54" s="19"/>
      <c r="O54" s="19"/>
    </row>
    <row r="55" spans="1:15" ht="13.5" thickTop="1" x14ac:dyDescent="0.25">
      <c r="B55" s="1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23"/>
    </row>
    <row r="56" spans="1:15" x14ac:dyDescent="0.25">
      <c r="B56" s="32" t="s">
        <v>31</v>
      </c>
      <c r="C56" s="48"/>
      <c r="D56" s="46"/>
      <c r="E56" s="48"/>
      <c r="F56" s="48"/>
      <c r="G56" s="48"/>
      <c r="H56" s="48">
        <v>0</v>
      </c>
      <c r="I56" s="46"/>
      <c r="J56" s="46"/>
      <c r="K56" s="46"/>
      <c r="L56" s="46"/>
      <c r="M56" s="133"/>
    </row>
    <row r="57" spans="1:15" x14ac:dyDescent="0.25">
      <c r="B57" s="32" t="s">
        <v>187</v>
      </c>
      <c r="C57" s="48">
        <f>SUM(C58:C59)</f>
        <v>756395</v>
      </c>
      <c r="D57" s="48">
        <f t="shared" ref="D57:M57" si="30">SUM(D58:D59)</f>
        <v>254345</v>
      </c>
      <c r="E57" s="48">
        <f t="shared" si="30"/>
        <v>222761</v>
      </c>
      <c r="F57" s="48">
        <f t="shared" si="30"/>
        <v>962626</v>
      </c>
      <c r="G57" s="48">
        <f t="shared" si="30"/>
        <v>223471</v>
      </c>
      <c r="H57" s="48">
        <f t="shared" si="30"/>
        <v>950195</v>
      </c>
      <c r="I57" s="48">
        <f t="shared" si="30"/>
        <v>0</v>
      </c>
      <c r="J57" s="48">
        <f t="shared" si="30"/>
        <v>2732439</v>
      </c>
      <c r="K57" s="48">
        <f t="shared" si="30"/>
        <v>49489</v>
      </c>
      <c r="L57" s="48">
        <f t="shared" si="30"/>
        <v>2091787</v>
      </c>
      <c r="M57" s="223">
        <f t="shared" si="30"/>
        <v>8243508</v>
      </c>
    </row>
    <row r="58" spans="1:15" ht="15" x14ac:dyDescent="0.25">
      <c r="B58" s="17" t="s">
        <v>76</v>
      </c>
      <c r="C58" s="264">
        <v>756395</v>
      </c>
      <c r="D58" s="264">
        <v>254345</v>
      </c>
      <c r="E58" s="266">
        <v>222761</v>
      </c>
      <c r="F58" s="264">
        <v>961578</v>
      </c>
      <c r="G58" s="264">
        <v>223471</v>
      </c>
      <c r="H58" s="264">
        <v>950195</v>
      </c>
      <c r="I58" s="264"/>
      <c r="J58" s="264">
        <v>2732439</v>
      </c>
      <c r="K58" s="264">
        <v>49489</v>
      </c>
      <c r="L58" s="264">
        <v>2091787</v>
      </c>
      <c r="M58" s="223">
        <f t="shared" ref="M58:M65" si="31">SUM(C58:L58)</f>
        <v>8242460</v>
      </c>
    </row>
    <row r="59" spans="1:15" ht="15" x14ac:dyDescent="0.25">
      <c r="B59" s="17" t="s">
        <v>177</v>
      </c>
      <c r="C59" s="265"/>
      <c r="D59" s="265"/>
      <c r="E59" s="267"/>
      <c r="F59" s="265">
        <v>1048</v>
      </c>
      <c r="G59" s="265"/>
      <c r="H59" s="265"/>
      <c r="I59" s="265"/>
      <c r="J59" s="265"/>
      <c r="K59" s="265"/>
      <c r="L59" s="265"/>
      <c r="M59" s="223">
        <f t="shared" si="31"/>
        <v>1048</v>
      </c>
    </row>
    <row r="60" spans="1:15" ht="15" x14ac:dyDescent="0.25">
      <c r="B60" s="17" t="s">
        <v>185</v>
      </c>
      <c r="C60" s="170"/>
      <c r="D60" s="170">
        <v>48100</v>
      </c>
      <c r="E60" s="262"/>
      <c r="F60" s="170"/>
      <c r="G60" s="170"/>
      <c r="H60" s="170">
        <v>56000</v>
      </c>
      <c r="I60" s="170"/>
      <c r="J60" s="170"/>
      <c r="K60" s="170"/>
      <c r="L60" s="170">
        <v>319529</v>
      </c>
      <c r="M60" s="223">
        <f t="shared" si="31"/>
        <v>423629</v>
      </c>
    </row>
    <row r="61" spans="1:15" ht="15" x14ac:dyDescent="0.25">
      <c r="B61" s="17" t="s">
        <v>178</v>
      </c>
      <c r="C61" s="170">
        <v>610894</v>
      </c>
      <c r="D61" s="170"/>
      <c r="E61" s="26"/>
      <c r="F61" s="170"/>
      <c r="G61" s="170">
        <v>11156</v>
      </c>
      <c r="H61" s="170">
        <v>97257</v>
      </c>
      <c r="I61" s="170"/>
      <c r="J61" s="170"/>
      <c r="K61" s="170">
        <v>35000</v>
      </c>
      <c r="L61" s="170">
        <v>202692</v>
      </c>
      <c r="M61" s="223">
        <f t="shared" si="31"/>
        <v>956999</v>
      </c>
    </row>
    <row r="62" spans="1:15" ht="15" x14ac:dyDescent="0.25">
      <c r="B62" s="17" t="s">
        <v>182</v>
      </c>
      <c r="C62" s="170">
        <v>539738</v>
      </c>
      <c r="D62" s="170">
        <v>280381</v>
      </c>
      <c r="E62" s="26">
        <v>26106</v>
      </c>
      <c r="F62" s="170"/>
      <c r="G62" s="170"/>
      <c r="H62" s="170"/>
      <c r="I62" s="170"/>
      <c r="J62" s="170"/>
      <c r="K62" s="170">
        <v>140601</v>
      </c>
      <c r="L62" s="170">
        <v>171412</v>
      </c>
      <c r="M62" s="223">
        <f t="shared" si="31"/>
        <v>1158238</v>
      </c>
    </row>
    <row r="63" spans="1:15" ht="15" x14ac:dyDescent="0.25">
      <c r="B63" s="37" t="s">
        <v>80</v>
      </c>
      <c r="C63" s="170">
        <v>470769</v>
      </c>
      <c r="D63" s="170">
        <v>88882</v>
      </c>
      <c r="E63" s="26">
        <v>12898</v>
      </c>
      <c r="F63" s="170">
        <v>130755</v>
      </c>
      <c r="G63" s="170">
        <v>16095</v>
      </c>
      <c r="H63" s="170">
        <v>115957</v>
      </c>
      <c r="I63" s="170"/>
      <c r="J63" s="170">
        <v>593335</v>
      </c>
      <c r="K63" s="170">
        <v>118807</v>
      </c>
      <c r="L63" s="170">
        <v>142819</v>
      </c>
      <c r="M63" s="223">
        <f>SUM(C63:L63)</f>
        <v>1690317</v>
      </c>
    </row>
    <row r="64" spans="1:15" ht="13.5" customHeight="1" x14ac:dyDescent="0.25">
      <c r="B64" s="17" t="s">
        <v>32</v>
      </c>
      <c r="C64" s="170">
        <v>187197</v>
      </c>
      <c r="D64" s="170"/>
      <c r="E64" s="26">
        <v>22919</v>
      </c>
      <c r="F64" s="170"/>
      <c r="G64" s="170">
        <v>7500</v>
      </c>
      <c r="H64" s="170"/>
      <c r="I64" s="170"/>
      <c r="J64" s="170"/>
      <c r="K64" s="170">
        <v>85796</v>
      </c>
      <c r="L64" s="170"/>
      <c r="M64" s="223">
        <f t="shared" si="31"/>
        <v>303412</v>
      </c>
    </row>
    <row r="65" spans="2:13" ht="15" x14ac:dyDescent="0.25">
      <c r="B65" s="37" t="s">
        <v>179</v>
      </c>
      <c r="C65" s="170"/>
      <c r="D65" s="170"/>
      <c r="E65" s="26"/>
      <c r="F65" s="170"/>
      <c r="G65" s="170"/>
      <c r="H65" s="170"/>
      <c r="I65" s="170"/>
      <c r="J65" s="170"/>
      <c r="K65" s="170"/>
      <c r="L65" s="170"/>
      <c r="M65" s="223">
        <f t="shared" si="31"/>
        <v>0</v>
      </c>
    </row>
    <row r="66" spans="2:13" x14ac:dyDescent="0.25">
      <c r="B66" s="32" t="s">
        <v>33</v>
      </c>
      <c r="C66" s="55">
        <f>SUM(C60:C65)+C57</f>
        <v>2564993</v>
      </c>
      <c r="D66" s="55">
        <f t="shared" ref="D66:M66" si="32">SUM(D60:D65)+D57</f>
        <v>671708</v>
      </c>
      <c r="E66" s="55">
        <f t="shared" ref="E66" si="33">SUM(E60:E65)+E57</f>
        <v>284684</v>
      </c>
      <c r="F66" s="55">
        <f t="shared" si="32"/>
        <v>1093381</v>
      </c>
      <c r="G66" s="55">
        <f t="shared" si="32"/>
        <v>258222</v>
      </c>
      <c r="H66" s="55">
        <f t="shared" si="32"/>
        <v>1219409</v>
      </c>
      <c r="I66" s="55">
        <f t="shared" si="32"/>
        <v>0</v>
      </c>
      <c r="J66" s="55">
        <f t="shared" si="32"/>
        <v>3325774</v>
      </c>
      <c r="K66" s="55">
        <f t="shared" si="32"/>
        <v>429693</v>
      </c>
      <c r="L66" s="55">
        <f t="shared" si="32"/>
        <v>2928239</v>
      </c>
      <c r="M66" s="134">
        <f t="shared" si="32"/>
        <v>12776103</v>
      </c>
    </row>
    <row r="67" spans="2:13" x14ac:dyDescent="0.25">
      <c r="B67" s="17"/>
      <c r="M67" s="122"/>
    </row>
    <row r="68" spans="2:13" ht="15" x14ac:dyDescent="0.25">
      <c r="B68" s="17" t="s">
        <v>34</v>
      </c>
      <c r="C68" s="170">
        <v>2425</v>
      </c>
      <c r="D68" s="170">
        <v>35691</v>
      </c>
      <c r="E68" s="57">
        <v>123771</v>
      </c>
      <c r="F68" s="170">
        <v>40000</v>
      </c>
      <c r="G68" s="170">
        <v>4000</v>
      </c>
      <c r="H68" s="170">
        <v>15000</v>
      </c>
      <c r="I68" s="170"/>
      <c r="J68" s="170">
        <v>1038383</v>
      </c>
      <c r="K68" s="170">
        <v>49838</v>
      </c>
      <c r="L68" s="170">
        <v>191678</v>
      </c>
      <c r="M68" s="223">
        <f t="shared" ref="M68:M75" si="34">SUM(C68:L68)</f>
        <v>1500786</v>
      </c>
    </row>
    <row r="69" spans="2:13" ht="15" x14ac:dyDescent="0.25">
      <c r="B69" s="17" t="s">
        <v>35</v>
      </c>
      <c r="C69" s="170"/>
      <c r="D69" s="170"/>
      <c r="E69" s="57"/>
      <c r="F69" s="170"/>
      <c r="G69" s="170"/>
      <c r="H69" s="170"/>
      <c r="I69" s="170"/>
      <c r="J69" s="170"/>
      <c r="K69" s="170"/>
      <c r="L69" s="170"/>
      <c r="M69" s="223">
        <f t="shared" si="34"/>
        <v>0</v>
      </c>
    </row>
    <row r="70" spans="2:13" ht="15" x14ac:dyDescent="0.25">
      <c r="B70" s="17" t="s">
        <v>36</v>
      </c>
      <c r="C70" s="170"/>
      <c r="D70" s="170">
        <v>2824</v>
      </c>
      <c r="E70" s="58"/>
      <c r="F70" s="170">
        <v>22765</v>
      </c>
      <c r="G70" s="170">
        <v>10000</v>
      </c>
      <c r="H70" s="170">
        <v>546891</v>
      </c>
      <c r="I70" s="170"/>
      <c r="J70" s="170"/>
      <c r="K70" s="170">
        <v>110426</v>
      </c>
      <c r="L70" s="170">
        <v>1136601</v>
      </c>
      <c r="M70" s="223">
        <f t="shared" si="34"/>
        <v>1829507</v>
      </c>
    </row>
    <row r="71" spans="2:13" ht="15" x14ac:dyDescent="0.25">
      <c r="B71" s="17" t="s">
        <v>184</v>
      </c>
      <c r="C71" s="170"/>
      <c r="D71" s="170"/>
      <c r="E71" s="58"/>
      <c r="F71" s="170"/>
      <c r="G71" s="170">
        <v>63743</v>
      </c>
      <c r="H71" s="170"/>
      <c r="I71" s="170"/>
      <c r="J71" s="170"/>
      <c r="K71" s="170"/>
      <c r="L71" s="170"/>
      <c r="M71" s="223">
        <f t="shared" si="34"/>
        <v>63743</v>
      </c>
    </row>
    <row r="72" spans="2:13" ht="15" x14ac:dyDescent="0.25">
      <c r="B72" s="17" t="s">
        <v>180</v>
      </c>
      <c r="C72" s="170">
        <v>-174763</v>
      </c>
      <c r="D72" s="170">
        <v>55140</v>
      </c>
      <c r="E72" s="59"/>
      <c r="F72" s="170"/>
      <c r="G72" s="170">
        <v>888</v>
      </c>
      <c r="H72" s="170"/>
      <c r="I72" s="170"/>
      <c r="J72" s="170">
        <v>-513547</v>
      </c>
      <c r="K72" s="170"/>
      <c r="L72" s="170">
        <v>68238</v>
      </c>
      <c r="M72" s="223">
        <f t="shared" si="34"/>
        <v>-564044</v>
      </c>
    </row>
    <row r="73" spans="2:13" ht="15" x14ac:dyDescent="0.25">
      <c r="B73" s="17" t="s">
        <v>181</v>
      </c>
      <c r="C73" s="170"/>
      <c r="D73" s="170"/>
      <c r="E73" s="59"/>
      <c r="F73" s="170"/>
      <c r="G73" s="170"/>
      <c r="H73" s="170"/>
      <c r="I73" s="170"/>
      <c r="J73" s="170"/>
      <c r="K73" s="170"/>
      <c r="L73" s="170"/>
      <c r="M73" s="223">
        <f t="shared" si="34"/>
        <v>0</v>
      </c>
    </row>
    <row r="74" spans="2:13" ht="15" x14ac:dyDescent="0.25">
      <c r="B74" s="17" t="s">
        <v>37</v>
      </c>
      <c r="C74" s="170">
        <v>2070239</v>
      </c>
      <c r="D74" s="170">
        <v>91557</v>
      </c>
      <c r="E74" s="58">
        <v>-61969</v>
      </c>
      <c r="F74" s="170">
        <v>171522</v>
      </c>
      <c r="G74" s="170">
        <v>-76867</v>
      </c>
      <c r="H74" s="170"/>
      <c r="I74" s="170"/>
      <c r="J74" s="170"/>
      <c r="K74" s="170">
        <v>-49962</v>
      </c>
      <c r="L74" s="170"/>
      <c r="M74" s="223">
        <f t="shared" si="34"/>
        <v>2144520</v>
      </c>
    </row>
    <row r="75" spans="2:13" x14ac:dyDescent="0.25">
      <c r="B75" s="23"/>
      <c r="C75" s="60"/>
      <c r="D75" s="19"/>
      <c r="E75" s="19"/>
      <c r="F75" s="19"/>
      <c r="G75" s="60"/>
      <c r="H75" s="60"/>
      <c r="I75" s="19"/>
      <c r="J75" s="19"/>
      <c r="K75" s="19"/>
      <c r="L75" s="19"/>
      <c r="M75" s="223">
        <f t="shared" si="34"/>
        <v>0</v>
      </c>
    </row>
    <row r="76" spans="2:13" ht="13.9" hidden="1" customHeight="1" x14ac:dyDescent="0.25">
      <c r="B76" s="23"/>
      <c r="C76" s="60"/>
      <c r="D76" s="19"/>
      <c r="E76" s="60"/>
      <c r="F76" s="60"/>
      <c r="G76" s="60"/>
      <c r="H76" s="60"/>
      <c r="I76" s="19"/>
      <c r="J76" s="19"/>
      <c r="K76" s="19"/>
      <c r="L76" s="19"/>
      <c r="M76" s="122">
        <f t="shared" ref="M76:M77" si="35">C76+D76+E76+G76+H76+I76+K76+L76</f>
        <v>0</v>
      </c>
    </row>
    <row r="77" spans="2:13" ht="13.9" hidden="1" customHeight="1" x14ac:dyDescent="0.25">
      <c r="B77" s="23"/>
      <c r="C77" s="60"/>
      <c r="D77" s="19"/>
      <c r="E77" s="60"/>
      <c r="F77" s="60"/>
      <c r="G77" s="60"/>
      <c r="H77" s="60"/>
      <c r="I77" s="19"/>
      <c r="J77" s="19"/>
      <c r="K77" s="19"/>
      <c r="L77" s="19"/>
      <c r="M77" s="122">
        <f t="shared" si="35"/>
        <v>0</v>
      </c>
    </row>
    <row r="78" spans="2:13" x14ac:dyDescent="0.25">
      <c r="B78" s="40" t="s">
        <v>38</v>
      </c>
      <c r="C78" s="61">
        <f>SUM(C68:C75)</f>
        <v>1897901</v>
      </c>
      <c r="D78" s="61">
        <f t="shared" ref="D78:M78" si="36">SUM(D68:D75)</f>
        <v>185212</v>
      </c>
      <c r="E78" s="61">
        <f t="shared" si="36"/>
        <v>61802</v>
      </c>
      <c r="F78" s="61">
        <f t="shared" si="36"/>
        <v>234287</v>
      </c>
      <c r="G78" s="61">
        <f t="shared" si="36"/>
        <v>1764</v>
      </c>
      <c r="H78" s="61">
        <f t="shared" si="36"/>
        <v>561891</v>
      </c>
      <c r="I78" s="61">
        <f t="shared" si="36"/>
        <v>0</v>
      </c>
      <c r="J78" s="61"/>
      <c r="K78" s="61">
        <f t="shared" si="36"/>
        <v>110302</v>
      </c>
      <c r="L78" s="61">
        <f t="shared" si="36"/>
        <v>1396517</v>
      </c>
      <c r="M78" s="135">
        <f t="shared" si="36"/>
        <v>4974512</v>
      </c>
    </row>
    <row r="79" spans="2:13" x14ac:dyDescent="0.25">
      <c r="B79" s="17"/>
      <c r="D79" s="19"/>
      <c r="I79" s="19"/>
      <c r="J79" s="19"/>
      <c r="K79" s="19"/>
      <c r="L79" s="19"/>
      <c r="M79" s="121"/>
    </row>
    <row r="80" spans="2:13" ht="13.5" thickBot="1" x14ac:dyDescent="0.3">
      <c r="B80" s="32" t="s">
        <v>39</v>
      </c>
      <c r="C80" s="62">
        <f t="shared" ref="C80:M80" si="37">C66+C78</f>
        <v>4462894</v>
      </c>
      <c r="D80" s="63">
        <f t="shared" si="37"/>
        <v>856920</v>
      </c>
      <c r="E80" s="62">
        <f t="shared" si="37"/>
        <v>346486</v>
      </c>
      <c r="F80" s="62">
        <f t="shared" si="37"/>
        <v>1327668</v>
      </c>
      <c r="G80" s="63">
        <f t="shared" si="37"/>
        <v>259986</v>
      </c>
      <c r="H80" s="63">
        <f t="shared" si="37"/>
        <v>1781300</v>
      </c>
      <c r="I80" s="63">
        <f t="shared" si="37"/>
        <v>0</v>
      </c>
      <c r="J80" s="63"/>
      <c r="K80" s="63">
        <f t="shared" si="37"/>
        <v>539995</v>
      </c>
      <c r="L80" s="63">
        <f t="shared" si="37"/>
        <v>4324756</v>
      </c>
      <c r="M80" s="136">
        <f t="shared" si="37"/>
        <v>17750615</v>
      </c>
    </row>
    <row r="81" spans="2:13" ht="13.5" thickTop="1" x14ac:dyDescent="0.25">
      <c r="B81" s="17"/>
      <c r="C81" s="64">
        <f>C54-C80</f>
        <v>0</v>
      </c>
      <c r="D81" s="64">
        <f>D54-D80</f>
        <v>0</v>
      </c>
      <c r="E81" s="64">
        <f t="shared" ref="E81" si="38">E54-E80</f>
        <v>0</v>
      </c>
      <c r="F81" s="64"/>
      <c r="G81" s="64">
        <f>G54-G80</f>
        <v>0</v>
      </c>
      <c r="H81" s="64">
        <f>H54-H80</f>
        <v>0</v>
      </c>
      <c r="I81" s="64">
        <f>I54-I80</f>
        <v>0</v>
      </c>
      <c r="J81" s="64"/>
      <c r="K81" s="64">
        <f>K54-K80</f>
        <v>0</v>
      </c>
      <c r="L81" s="64">
        <f>L54-L80</f>
        <v>0</v>
      </c>
      <c r="M81" s="225">
        <f>M54-M80</f>
        <v>0</v>
      </c>
    </row>
    <row r="82" spans="2:13" x14ac:dyDescent="0.25">
      <c r="B82" s="17" t="s">
        <v>40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/>
      <c r="K82" s="58">
        <v>0</v>
      </c>
      <c r="L82" s="58">
        <v>0</v>
      </c>
      <c r="M82" s="223">
        <f>SUM(C82:L82)</f>
        <v>0</v>
      </c>
    </row>
    <row r="83" spans="2:13" x14ac:dyDescent="0.25">
      <c r="B83" s="17" t="s">
        <v>41</v>
      </c>
      <c r="C83" s="54"/>
      <c r="D83" s="54"/>
      <c r="E83" s="54"/>
      <c r="F83" s="54"/>
      <c r="G83" s="54"/>
      <c r="H83" s="58"/>
      <c r="I83" s="54"/>
      <c r="J83" s="54">
        <v>24174</v>
      </c>
      <c r="K83" s="54"/>
      <c r="L83" s="54"/>
      <c r="M83" s="223">
        <f>SUM(C83:L83)</f>
        <v>24174</v>
      </c>
    </row>
    <row r="84" spans="2:13" ht="13.5" thickBot="1" x14ac:dyDescent="0.3">
      <c r="B84" s="40" t="s">
        <v>42</v>
      </c>
      <c r="C84" s="66">
        <f t="shared" ref="C84:M84" si="39">SUM(C82:C83)</f>
        <v>0</v>
      </c>
      <c r="D84" s="66">
        <f t="shared" si="39"/>
        <v>0</v>
      </c>
      <c r="E84" s="67">
        <f t="shared" si="39"/>
        <v>0</v>
      </c>
      <c r="F84" s="67"/>
      <c r="G84" s="67">
        <f t="shared" si="39"/>
        <v>0</v>
      </c>
      <c r="H84" s="67">
        <f t="shared" si="39"/>
        <v>0</v>
      </c>
      <c r="I84" s="67">
        <f t="shared" si="39"/>
        <v>0</v>
      </c>
      <c r="J84" s="67"/>
      <c r="K84" s="67">
        <f t="shared" si="39"/>
        <v>0</v>
      </c>
      <c r="L84" s="67">
        <f t="shared" si="39"/>
        <v>0</v>
      </c>
      <c r="M84" s="138">
        <f t="shared" si="39"/>
        <v>24174</v>
      </c>
    </row>
    <row r="85" spans="2:13" ht="13.5" hidden="1" thickTop="1" x14ac:dyDescent="0.25">
      <c r="B85" s="40" t="s">
        <v>43</v>
      </c>
      <c r="C85" s="65"/>
      <c r="D85" s="20"/>
      <c r="E85" s="65"/>
      <c r="F85" s="65"/>
      <c r="G85" s="65"/>
      <c r="H85" s="22"/>
      <c r="I85" s="20"/>
      <c r="J85" s="20"/>
      <c r="K85" s="20"/>
      <c r="L85" s="20"/>
      <c r="M85" s="123" t="e">
        <f>C85+D85+E85+G85+H85+I85+#REF!+K85+L85+#REF!+#REF!+#REF!+#REF!+#REF!+#REF!+#REF!+#REF!</f>
        <v>#REF!</v>
      </c>
    </row>
    <row r="86" spans="2:13" ht="13.5" hidden="1" thickTop="1" x14ac:dyDescent="0.25">
      <c r="B86" s="40" t="s">
        <v>44</v>
      </c>
      <c r="C86" s="65"/>
      <c r="D86" s="20"/>
      <c r="E86" s="65"/>
      <c r="F86" s="65"/>
      <c r="G86" s="65"/>
      <c r="H86" s="65"/>
      <c r="I86" s="20"/>
      <c r="J86" s="20"/>
      <c r="K86" s="20"/>
      <c r="L86" s="20"/>
      <c r="M86" s="123" t="e">
        <f>C86+D86+E86+G86+H86+I86+#REF!+K86+L86+#REF!+#REF!+#REF!+#REF!+#REF!+#REF!+#REF!+#REF!</f>
        <v>#REF!</v>
      </c>
    </row>
    <row r="87" spans="2:13" ht="13.5" hidden="1" thickTop="1" x14ac:dyDescent="0.25">
      <c r="B87" s="40" t="s">
        <v>45</v>
      </c>
      <c r="C87" s="20">
        <f t="shared" ref="C87:M87" si="40">SUM(C88:C89)</f>
        <v>0</v>
      </c>
      <c r="D87" s="20">
        <f t="shared" si="40"/>
        <v>0</v>
      </c>
      <c r="E87" s="20">
        <f t="shared" si="40"/>
        <v>0</v>
      </c>
      <c r="F87" s="20"/>
      <c r="G87" s="20">
        <f t="shared" si="40"/>
        <v>0</v>
      </c>
      <c r="H87" s="20">
        <f t="shared" si="40"/>
        <v>0</v>
      </c>
      <c r="I87" s="20">
        <f t="shared" si="40"/>
        <v>0</v>
      </c>
      <c r="J87" s="20"/>
      <c r="K87" s="20">
        <f t="shared" si="40"/>
        <v>0</v>
      </c>
      <c r="L87" s="20">
        <f t="shared" si="40"/>
        <v>0</v>
      </c>
      <c r="M87" s="123" t="e">
        <f t="shared" si="40"/>
        <v>#REF!</v>
      </c>
    </row>
    <row r="88" spans="2:13" ht="13.5" hidden="1" thickTop="1" x14ac:dyDescent="0.25">
      <c r="B88" s="68" t="s">
        <v>46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139" t="e">
        <f>C88+D88+E88+G88+H88+I88+#REF!+K88+L88+#REF!+#REF!+#REF!+#REF!+#REF!+#REF!+#REF!+#REF!</f>
        <v>#REF!</v>
      </c>
    </row>
    <row r="89" spans="2:13" ht="13.5" hidden="1" thickTop="1" x14ac:dyDescent="0.25">
      <c r="B89" s="68" t="s">
        <v>47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140" t="e">
        <f>C89+D89+E89+G89+H89+I89+#REF!+K89+L89+#REF!+#REF!+#REF!+#REF!+#REF!+#REF!+#REF!+#REF!</f>
        <v>#REF!</v>
      </c>
    </row>
    <row r="90" spans="2:13" ht="13.5" hidden="1" thickTop="1" x14ac:dyDescent="0.25">
      <c r="B90" s="68" t="s">
        <v>48</v>
      </c>
      <c r="C90" s="65"/>
      <c r="D90" s="20"/>
      <c r="E90" s="65"/>
      <c r="F90" s="65"/>
      <c r="G90" s="65">
        <v>0</v>
      </c>
      <c r="H90" s="65"/>
      <c r="I90" s="20"/>
      <c r="J90" s="20"/>
      <c r="K90" s="20"/>
      <c r="L90" s="20"/>
      <c r="M90" s="123"/>
    </row>
    <row r="91" spans="2:13" ht="13.5" hidden="1" thickTop="1" x14ac:dyDescent="0.25">
      <c r="B91" s="71" t="s">
        <v>49</v>
      </c>
      <c r="C91" s="65"/>
      <c r="D91" s="20"/>
      <c r="E91" s="65"/>
      <c r="F91" s="65"/>
      <c r="G91" s="65"/>
      <c r="H91" s="65"/>
      <c r="I91" s="20"/>
      <c r="J91" s="20"/>
      <c r="K91" s="20"/>
      <c r="L91" s="20"/>
      <c r="M91" s="123"/>
    </row>
    <row r="92" spans="2:13" ht="13.5" hidden="1" thickTop="1" x14ac:dyDescent="0.25">
      <c r="B92" s="3" t="s">
        <v>50</v>
      </c>
      <c r="D92" s="20"/>
      <c r="I92" s="20"/>
      <c r="J92" s="20"/>
      <c r="K92" s="20"/>
      <c r="L92" s="20"/>
      <c r="M92" s="123"/>
    </row>
    <row r="93" spans="2:13" ht="13.5" hidden="1" thickTop="1" x14ac:dyDescent="0.25">
      <c r="B93" s="72" t="s">
        <v>51</v>
      </c>
      <c r="C93" s="73"/>
      <c r="D93" s="73"/>
      <c r="E93" s="73"/>
      <c r="F93" s="73"/>
      <c r="G93" s="73"/>
      <c r="H93" s="73"/>
      <c r="I93" s="72"/>
      <c r="J93" s="72"/>
      <c r="K93" s="74"/>
      <c r="L93" s="73"/>
      <c r="M93" s="124" t="e">
        <f>C93+D93+E93+G93+H93+I93+#REF!+K93+L93+#REF!+#REF!+#REF!+#REF!+#REF!+#REF!+#REF!+#REF!</f>
        <v>#REF!</v>
      </c>
    </row>
    <row r="94" spans="2:13" ht="13.5" hidden="1" thickTop="1" x14ac:dyDescent="0.25"/>
    <row r="95" spans="2:13" ht="13.5" thickTop="1" x14ac:dyDescent="0.25">
      <c r="B95" s="56"/>
      <c r="C95" s="56"/>
      <c r="D95" s="75"/>
      <c r="E95" s="56"/>
      <c r="F95" s="56"/>
      <c r="G95" s="56"/>
      <c r="H95" s="56"/>
      <c r="I95" s="56"/>
      <c r="J95" s="56"/>
      <c r="K95" s="75"/>
      <c r="L95" s="75"/>
      <c r="M95" s="141"/>
    </row>
    <row r="96" spans="2:13" x14ac:dyDescent="0.25">
      <c r="B96" s="10" t="s">
        <v>52</v>
      </c>
      <c r="C96" s="10"/>
      <c r="D96" s="77"/>
      <c r="E96" s="10"/>
      <c r="F96" s="10"/>
      <c r="G96" s="10"/>
      <c r="H96" s="10"/>
      <c r="I96" s="77"/>
      <c r="J96" s="77"/>
      <c r="K96" s="77"/>
      <c r="L96" s="77"/>
      <c r="M96" s="142"/>
    </row>
    <row r="97" spans="2:14" ht="15" x14ac:dyDescent="0.25">
      <c r="B97" s="56" t="s">
        <v>53</v>
      </c>
      <c r="C97" s="198">
        <v>5400219</v>
      </c>
      <c r="D97" s="198">
        <v>434113</v>
      </c>
      <c r="E97" s="78">
        <v>369259</v>
      </c>
      <c r="F97" s="198"/>
      <c r="G97" s="198">
        <v>248035</v>
      </c>
      <c r="H97" s="198">
        <v>1803729</v>
      </c>
      <c r="I97" s="198"/>
      <c r="J97" s="198">
        <v>2433300</v>
      </c>
      <c r="K97" s="198">
        <v>597212</v>
      </c>
      <c r="L97" s="198">
        <v>3046276</v>
      </c>
      <c r="M97" s="122">
        <f>SUM(C97:L97)</f>
        <v>14332143</v>
      </c>
      <c r="N97" s="19">
        <f>M97-'Q4'!M95</f>
        <v>14332143</v>
      </c>
    </row>
    <row r="98" spans="2:14" x14ac:dyDescent="0.25">
      <c r="B98" s="52"/>
      <c r="C98" s="52"/>
      <c r="D98" s="79"/>
      <c r="E98" s="52"/>
      <c r="F98" s="52"/>
      <c r="G98" s="52"/>
      <c r="H98" s="52"/>
      <c r="I98" s="52"/>
      <c r="J98" s="52"/>
      <c r="K98" s="52"/>
      <c r="L98" s="81"/>
      <c r="M98" s="143"/>
    </row>
    <row r="99" spans="2:14" ht="13.5" thickBot="1" x14ac:dyDescent="0.3">
      <c r="B99" s="82" t="s">
        <v>54</v>
      </c>
      <c r="C99" s="83"/>
      <c r="D99" s="84"/>
      <c r="E99" s="83"/>
      <c r="F99" s="83"/>
      <c r="G99" s="83"/>
      <c r="H99" s="83"/>
      <c r="I99" s="84"/>
      <c r="J99" s="84"/>
      <c r="K99" s="84"/>
      <c r="L99" s="84"/>
      <c r="M99" s="144"/>
    </row>
    <row r="100" spans="2:14" ht="15" x14ac:dyDescent="0.25">
      <c r="B100" s="85" t="s">
        <v>55</v>
      </c>
      <c r="C100" s="170">
        <v>1826732</v>
      </c>
      <c r="D100" s="170">
        <v>183903</v>
      </c>
      <c r="E100" s="86">
        <v>48873</v>
      </c>
      <c r="F100" s="170"/>
      <c r="G100" s="170">
        <v>61989</v>
      </c>
      <c r="H100" s="170">
        <v>542145</v>
      </c>
      <c r="I100" s="170"/>
      <c r="J100" s="170">
        <v>473250</v>
      </c>
      <c r="K100" s="170">
        <v>102909</v>
      </c>
      <c r="L100" s="170">
        <v>1312646</v>
      </c>
      <c r="M100" s="122">
        <f>SUM(C100:L100)</f>
        <v>4552447</v>
      </c>
      <c r="N100" s="19">
        <f>M100-'Q4'!M98</f>
        <v>4552447</v>
      </c>
    </row>
    <row r="101" spans="2:14" ht="15.75" thickBot="1" x14ac:dyDescent="0.3">
      <c r="B101" s="87" t="s">
        <v>56</v>
      </c>
      <c r="C101" s="205"/>
      <c r="D101" s="205"/>
      <c r="E101" s="88"/>
      <c r="F101" s="205"/>
      <c r="G101" s="205"/>
      <c r="H101" s="205"/>
      <c r="I101" s="205"/>
      <c r="J101" s="205">
        <v>6057</v>
      </c>
      <c r="K101" s="205"/>
      <c r="L101" s="205">
        <v>26895</v>
      </c>
      <c r="M101" s="122">
        <f>SUM(C101:L101)</f>
        <v>32952</v>
      </c>
      <c r="N101" s="19">
        <f>M101-'Q4'!M99</f>
        <v>32952</v>
      </c>
    </row>
    <row r="102" spans="2:14" ht="13.5" thickBot="1" x14ac:dyDescent="0.3">
      <c r="B102" s="89" t="s">
        <v>57</v>
      </c>
      <c r="C102" s="90">
        <v>1879108</v>
      </c>
      <c r="D102" s="90">
        <v>148748</v>
      </c>
      <c r="E102" s="90">
        <f t="shared" ref="E102" si="41">SUM(E100:E101)</f>
        <v>48873</v>
      </c>
      <c r="F102" s="90">
        <v>192884</v>
      </c>
      <c r="G102" s="90">
        <v>29644</v>
      </c>
      <c r="H102" s="90">
        <v>491784</v>
      </c>
      <c r="I102" s="90">
        <v>0</v>
      </c>
      <c r="J102" s="90">
        <v>400694</v>
      </c>
      <c r="K102" s="90">
        <v>80160</v>
      </c>
      <c r="L102" s="90">
        <v>1224068</v>
      </c>
      <c r="M102" s="145">
        <f t="shared" ref="M102" si="42">SUM(M100:M101)</f>
        <v>4585399</v>
      </c>
    </row>
    <row r="103" spans="2:14" ht="14.45" hidden="1" customHeight="1" x14ac:dyDescent="0.25"/>
    <row r="104" spans="2:14" ht="14.45" hidden="1" customHeight="1" x14ac:dyDescent="0.25"/>
    <row r="105" spans="2:14" ht="13.9" hidden="1" customHeight="1" x14ac:dyDescent="0.25">
      <c r="B105" s="91" t="s">
        <v>58</v>
      </c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146"/>
    </row>
    <row r="106" spans="2:14" ht="13.9" hidden="1" customHeight="1" x14ac:dyDescent="0.25">
      <c r="B106" s="93" t="s">
        <v>59</v>
      </c>
      <c r="C106" s="20" t="e">
        <v>#REF!</v>
      </c>
      <c r="D106" s="20" t="e">
        <v>#REF!</v>
      </c>
      <c r="E106" s="20" t="e">
        <v>#REF!</v>
      </c>
      <c r="F106" s="20" t="e">
        <v>#REF!</v>
      </c>
      <c r="G106" s="20" t="e">
        <v>#REF!</v>
      </c>
      <c r="H106" s="20" t="e">
        <v>#REF!</v>
      </c>
      <c r="I106" s="20" t="e">
        <v>#REF!</v>
      </c>
      <c r="J106" s="20"/>
      <c r="K106" s="20" t="e">
        <v>#REF!</v>
      </c>
      <c r="L106" s="20" t="e">
        <v>#REF!</v>
      </c>
      <c r="M106" s="123" t="e">
        <f>IF(#REF!&gt;#REF!,#REF!-#REF!,0)</f>
        <v>#REF!</v>
      </c>
    </row>
    <row r="107" spans="2:14" ht="13.9" hidden="1" customHeight="1" x14ac:dyDescent="0.25">
      <c r="B107" s="93" t="s">
        <v>60</v>
      </c>
      <c r="C107" s="94" t="e">
        <v>#REF!</v>
      </c>
      <c r="D107" s="94" t="e">
        <v>#REF!</v>
      </c>
      <c r="E107" s="94" t="e">
        <v>#REF!</v>
      </c>
      <c r="F107" s="94" t="e">
        <v>#REF!</v>
      </c>
      <c r="G107" s="94" t="e">
        <v>#REF!</v>
      </c>
      <c r="H107" s="94" t="e">
        <v>#REF!</v>
      </c>
      <c r="I107" s="94" t="s">
        <v>190</v>
      </c>
      <c r="J107" s="94"/>
      <c r="K107" s="94">
        <v>0</v>
      </c>
      <c r="L107" s="94">
        <v>0</v>
      </c>
      <c r="M107" s="147">
        <f>'[1]Scenarios and assumptions'!AI36</f>
        <v>0</v>
      </c>
    </row>
    <row r="108" spans="2:14" ht="13.9" hidden="1" customHeight="1" x14ac:dyDescent="0.25">
      <c r="B108" s="93" t="s">
        <v>61</v>
      </c>
      <c r="C108" s="95" t="e">
        <v>#REF!</v>
      </c>
      <c r="D108" s="95" t="e">
        <v>#REF!</v>
      </c>
      <c r="E108" s="95" t="e">
        <v>#REF!</v>
      </c>
      <c r="F108" s="95" t="e">
        <v>#REF!</v>
      </c>
      <c r="G108" s="95" t="e">
        <v>#REF!</v>
      </c>
      <c r="H108" s="95" t="e">
        <v>#REF!</v>
      </c>
      <c r="I108" s="95" t="e">
        <v>#REF!</v>
      </c>
      <c r="J108" s="95"/>
      <c r="K108" s="95" t="e">
        <v>#REF!</v>
      </c>
      <c r="L108" s="95" t="e">
        <v>#REF!</v>
      </c>
      <c r="M108" s="148" t="e">
        <f t="shared" ref="M108" si="43">M106*M107</f>
        <v>#REF!</v>
      </c>
    </row>
    <row r="109" spans="2:14" ht="13.9" hidden="1" customHeight="1" x14ac:dyDescent="0.25"/>
    <row r="110" spans="2:14" ht="13.9" hidden="1" customHeight="1" x14ac:dyDescent="0.25">
      <c r="C110" s="46" t="e">
        <v>#REF!</v>
      </c>
      <c r="D110" s="46" t="e">
        <v>#REF!</v>
      </c>
      <c r="E110" s="46" t="e">
        <v>#REF!</v>
      </c>
      <c r="F110" s="46" t="e">
        <v>#REF!</v>
      </c>
      <c r="G110" s="46" t="e">
        <v>#REF!</v>
      </c>
      <c r="H110" s="46" t="e">
        <v>#REF!</v>
      </c>
      <c r="I110" s="46" t="e">
        <v>#REF!</v>
      </c>
      <c r="J110" s="46"/>
      <c r="K110" s="46" t="e">
        <v>#REF!</v>
      </c>
      <c r="L110" s="46" t="e">
        <v>#REF!</v>
      </c>
      <c r="M110" s="133" t="e">
        <f>(#REF!+#REF!)/#REF!</f>
        <v>#REF!</v>
      </c>
    </row>
    <row r="111" spans="2:14" ht="14.45" hidden="1" customHeight="1" x14ac:dyDescent="0.25"/>
    <row r="112" spans="2:14" ht="14.45" hidden="1" customHeight="1" x14ac:dyDescent="0.25">
      <c r="B112" s="96" t="s">
        <v>62</v>
      </c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149"/>
    </row>
    <row r="113" spans="2:13" ht="14.45" hidden="1" customHeight="1" x14ac:dyDescent="0.25">
      <c r="B113" s="98" t="s">
        <v>55</v>
      </c>
      <c r="C113" s="99" t="e">
        <v>#REF!</v>
      </c>
      <c r="D113" s="99" t="e">
        <v>#REF!</v>
      </c>
      <c r="E113" s="99" t="e">
        <v>#REF!</v>
      </c>
      <c r="F113" s="99" t="e">
        <v>#REF!</v>
      </c>
      <c r="G113" s="99" t="e">
        <v>#REF!</v>
      </c>
      <c r="H113" s="99" t="e">
        <v>#REF!</v>
      </c>
      <c r="I113" s="99" t="e">
        <v>#REF!</v>
      </c>
      <c r="J113" s="99"/>
      <c r="K113" s="99" t="e">
        <v>#REF!</v>
      </c>
      <c r="L113" s="99" t="e">
        <v>#REF!</v>
      </c>
      <c r="M113" s="150" t="e">
        <f>M100/#REF!</f>
        <v>#REF!</v>
      </c>
    </row>
    <row r="114" spans="2:13" ht="14.45" hidden="1" customHeight="1" x14ac:dyDescent="0.25">
      <c r="B114" s="100" t="s">
        <v>56</v>
      </c>
      <c r="C114" s="101" t="e">
        <v>#REF!</v>
      </c>
      <c r="D114" s="101" t="e">
        <v>#REF!</v>
      </c>
      <c r="E114" s="101" t="e">
        <v>#REF!</v>
      </c>
      <c r="F114" s="101" t="e">
        <v>#REF!</v>
      </c>
      <c r="G114" s="101" t="e">
        <v>#REF!</v>
      </c>
      <c r="H114" s="101" t="e">
        <v>#REF!</v>
      </c>
      <c r="I114" s="101" t="e">
        <v>#REF!</v>
      </c>
      <c r="J114" s="101"/>
      <c r="K114" s="101" t="e">
        <v>#REF!</v>
      </c>
      <c r="L114" s="101" t="e">
        <v>#REF!</v>
      </c>
      <c r="M114" s="151" t="e">
        <f>M101/#REF!</f>
        <v>#REF!</v>
      </c>
    </row>
    <row r="115" spans="2:13" ht="14.45" hidden="1" customHeight="1" x14ac:dyDescent="0.25">
      <c r="B115" s="102" t="s">
        <v>57</v>
      </c>
      <c r="C115" s="103" t="e">
        <v>#REF!</v>
      </c>
      <c r="D115" s="103" t="e">
        <v>#REF!</v>
      </c>
      <c r="E115" s="103" t="e">
        <v>#REF!</v>
      </c>
      <c r="F115" s="103" t="e">
        <v>#REF!</v>
      </c>
      <c r="G115" s="103" t="e">
        <v>#REF!</v>
      </c>
      <c r="H115" s="103" t="e">
        <v>#REF!</v>
      </c>
      <c r="I115" s="103" t="e">
        <v>#REF!</v>
      </c>
      <c r="J115" s="103"/>
      <c r="K115" s="103" t="e">
        <v>#REF!</v>
      </c>
      <c r="L115" s="103" t="e">
        <v>#REF!</v>
      </c>
      <c r="M115" s="152" t="e">
        <f>M102/#REF!</f>
        <v>#REF!</v>
      </c>
    </row>
    <row r="116" spans="2:13" ht="14.45" hidden="1" customHeight="1" x14ac:dyDescent="0.25"/>
    <row r="117" spans="2:13" ht="14.45" hidden="1" customHeight="1" x14ac:dyDescent="0.25"/>
    <row r="118" spans="2:13" ht="14.45" hidden="1" customHeight="1" x14ac:dyDescent="0.25">
      <c r="B118" s="96" t="s">
        <v>63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149"/>
    </row>
    <row r="119" spans="2:13" ht="14.45" hidden="1" customHeight="1" x14ac:dyDescent="0.25">
      <c r="B119" s="104" t="s">
        <v>55</v>
      </c>
      <c r="C119" s="105" t="e">
        <v>#REF!</v>
      </c>
      <c r="D119" s="105" t="e">
        <v>#REF!</v>
      </c>
      <c r="E119" s="105" t="e">
        <v>#REF!</v>
      </c>
      <c r="F119" s="105" t="e">
        <v>#REF!</v>
      </c>
      <c r="G119" s="105" t="e">
        <v>#REF!</v>
      </c>
      <c r="H119" s="105" t="e">
        <v>#REF!</v>
      </c>
      <c r="I119" s="105" t="e">
        <v>#REF!</v>
      </c>
      <c r="J119" s="105"/>
      <c r="K119" s="105" t="e">
        <v>#REF!</v>
      </c>
      <c r="L119" s="105" t="e">
        <v>#REF!</v>
      </c>
      <c r="M119" s="150" t="e">
        <f>+SUM(M68:M68,M73)/#REF!</f>
        <v>#REF!</v>
      </c>
    </row>
    <row r="120" spans="2:13" ht="14.45" hidden="1" customHeight="1" x14ac:dyDescent="0.25">
      <c r="B120" s="106" t="s">
        <v>56</v>
      </c>
      <c r="C120" s="107" t="e">
        <v>#REF!</v>
      </c>
      <c r="D120" s="107" t="e">
        <v>#REF!</v>
      </c>
      <c r="E120" s="107" t="e">
        <v>#REF!</v>
      </c>
      <c r="F120" s="107" t="e">
        <v>#REF!</v>
      </c>
      <c r="G120" s="107" t="e">
        <v>#REF!</v>
      </c>
      <c r="H120" s="107" t="e">
        <v>#REF!</v>
      </c>
      <c r="I120" s="107" t="e">
        <v>#REF!</v>
      </c>
      <c r="J120" s="107"/>
      <c r="K120" s="107" t="e">
        <v>#REF!</v>
      </c>
      <c r="L120" s="107" t="e">
        <v>#REF!</v>
      </c>
      <c r="M120" s="151" t="e">
        <f>SUM(M63,#REF!)/#REF!</f>
        <v>#REF!</v>
      </c>
    </row>
    <row r="121" spans="2:13" ht="14.45" hidden="1" customHeight="1" x14ac:dyDescent="0.25">
      <c r="B121" s="108" t="s">
        <v>57</v>
      </c>
      <c r="C121" s="109" t="e">
        <v>#REF!</v>
      </c>
      <c r="D121" s="109" t="e">
        <v>#REF!</v>
      </c>
      <c r="E121" s="109" t="e">
        <v>#REF!</v>
      </c>
      <c r="F121" s="109" t="e">
        <v>#REF!</v>
      </c>
      <c r="G121" s="109" t="e">
        <v>#REF!</v>
      </c>
      <c r="H121" s="109" t="e">
        <v>#REF!</v>
      </c>
      <c r="I121" s="109" t="e">
        <v>#REF!</v>
      </c>
      <c r="J121" s="109"/>
      <c r="K121" s="109" t="e">
        <v>#REF!</v>
      </c>
      <c r="L121" s="109" t="e">
        <v>#REF!</v>
      </c>
      <c r="M121" s="152" t="e">
        <f t="shared" ref="M121" si="44">+M119+M120</f>
        <v>#REF!</v>
      </c>
    </row>
    <row r="122" spans="2:13" ht="13.5" thickBot="1" x14ac:dyDescent="0.3">
      <c r="B122" s="110" t="s">
        <v>64</v>
      </c>
      <c r="C122" s="111">
        <v>0.48808342292270623</v>
      </c>
      <c r="D122" s="111">
        <v>0.34207996614800129</v>
      </c>
      <c r="E122" s="111">
        <f t="shared" ref="E122" si="45">E102/E97</f>
        <v>0.13235425541422147</v>
      </c>
      <c r="F122" s="111">
        <v>0.22257095975389388</v>
      </c>
      <c r="G122" s="111">
        <v>0.14710421453276895</v>
      </c>
      <c r="H122" s="111">
        <v>0.42913500914930247</v>
      </c>
      <c r="I122" s="111" t="e">
        <v>#DIV/0!</v>
      </c>
      <c r="J122" s="111">
        <v>0.13466225381005448</v>
      </c>
      <c r="K122" s="111">
        <v>0.21067183184098692</v>
      </c>
      <c r="L122" s="111">
        <v>0.47781410628743448</v>
      </c>
      <c r="M122" s="153">
        <f t="shared" ref="M122" si="46">M102/M97</f>
        <v>0.31993812788499248</v>
      </c>
    </row>
    <row r="123" spans="2:13" ht="13.5" thickBot="1" x14ac:dyDescent="0.3">
      <c r="B123" s="82" t="s">
        <v>54</v>
      </c>
      <c r="C123" s="83"/>
      <c r="D123" s="84"/>
      <c r="E123" s="83"/>
      <c r="F123" s="83"/>
      <c r="G123" s="83"/>
      <c r="H123" s="83"/>
      <c r="I123" s="84"/>
      <c r="J123" s="84"/>
      <c r="K123" s="84"/>
      <c r="L123" s="84"/>
      <c r="M123" s="144"/>
    </row>
    <row r="124" spans="2:13" x14ac:dyDescent="0.25">
      <c r="B124" s="85" t="s">
        <v>55</v>
      </c>
      <c r="C124" s="112">
        <v>0.48808342292270623</v>
      </c>
      <c r="D124" s="112">
        <v>0.34207996614800129</v>
      </c>
      <c r="E124" s="112">
        <f t="shared" ref="E124:E125" si="47">E100/E$97</f>
        <v>0.13235425541422147</v>
      </c>
      <c r="F124" s="112">
        <v>0.22257095975389388</v>
      </c>
      <c r="G124" s="112">
        <v>0.11733005155892555</v>
      </c>
      <c r="H124" s="112">
        <v>0.42913500914930247</v>
      </c>
      <c r="I124" s="112" t="e">
        <v>#DIV/0!</v>
      </c>
      <c r="J124" s="112">
        <v>0.12991690942307096</v>
      </c>
      <c r="K124" s="112">
        <v>0.21067183184098692</v>
      </c>
      <c r="L124" s="112">
        <v>0.46731566143910863</v>
      </c>
      <c r="M124" s="150">
        <f t="shared" ref="M124:M125" si="48">M100/M$97</f>
        <v>0.31763896020295079</v>
      </c>
    </row>
    <row r="125" spans="2:13" x14ac:dyDescent="0.25">
      <c r="B125" s="87" t="s">
        <v>56</v>
      </c>
      <c r="C125" s="113">
        <v>0</v>
      </c>
      <c r="D125" s="113">
        <v>0</v>
      </c>
      <c r="E125" s="113">
        <f t="shared" si="47"/>
        <v>0</v>
      </c>
      <c r="F125" s="113">
        <v>0</v>
      </c>
      <c r="G125" s="113">
        <v>2.9774162973843398E-2</v>
      </c>
      <c r="H125" s="113">
        <v>0</v>
      </c>
      <c r="I125" s="113" t="e">
        <v>#DIV/0!</v>
      </c>
      <c r="J125" s="113">
        <v>4.7453443869835072E-3</v>
      </c>
      <c r="K125" s="113">
        <v>0</v>
      </c>
      <c r="L125" s="113">
        <v>1.049844484832587E-2</v>
      </c>
      <c r="M125" s="151">
        <f t="shared" si="48"/>
        <v>2.2991676820416878E-3</v>
      </c>
    </row>
    <row r="126" spans="2:13" ht="16.899999999999999" customHeight="1" thickBot="1" x14ac:dyDescent="0.3">
      <c r="B126" s="89" t="s">
        <v>57</v>
      </c>
      <c r="C126" s="114">
        <f>SUM(C124:C125)</f>
        <v>0.48808342292270623</v>
      </c>
      <c r="D126" s="114">
        <f t="shared" ref="D126:M126" si="49">SUM(D124:D125)</f>
        <v>0.34207996614800129</v>
      </c>
      <c r="E126" s="114">
        <f t="shared" si="49"/>
        <v>0.13235425541422147</v>
      </c>
      <c r="F126" s="114"/>
      <c r="G126" s="114">
        <f t="shared" si="49"/>
        <v>0.14710421453276895</v>
      </c>
      <c r="H126" s="114">
        <f t="shared" si="49"/>
        <v>0.42913500914930247</v>
      </c>
      <c r="I126" s="114" t="e">
        <f t="shared" si="49"/>
        <v>#DIV/0!</v>
      </c>
      <c r="J126" s="114"/>
      <c r="K126" s="114">
        <f t="shared" si="49"/>
        <v>0.21067183184098692</v>
      </c>
      <c r="L126" s="114">
        <f t="shared" si="49"/>
        <v>0.47781410628743448</v>
      </c>
      <c r="M126" s="154">
        <f t="shared" si="49"/>
        <v>0.31993812788499248</v>
      </c>
    </row>
    <row r="127" spans="2:13" ht="16.899999999999999" customHeight="1" x14ac:dyDescent="0.25">
      <c r="B127" s="181"/>
      <c r="C127" s="182"/>
      <c r="D127" s="182"/>
      <c r="E127" s="184">
        <v>2500</v>
      </c>
      <c r="F127" s="182"/>
      <c r="G127" s="182"/>
      <c r="H127" s="182"/>
      <c r="I127" s="182"/>
      <c r="J127" s="182"/>
      <c r="K127" s="182"/>
      <c r="L127" s="182"/>
      <c r="M127" s="183"/>
    </row>
    <row r="128" spans="2:13" ht="16.899999999999999" customHeight="1" x14ac:dyDescent="0.25">
      <c r="B128" s="181"/>
      <c r="C128" s="182"/>
      <c r="D128" s="182"/>
      <c r="E128" s="184">
        <f t="shared" ref="E128" si="50">0.15*E97</f>
        <v>55388.85</v>
      </c>
      <c r="F128" s="182"/>
      <c r="G128" s="182"/>
      <c r="H128" s="182"/>
      <c r="I128" s="182"/>
      <c r="J128" s="182"/>
      <c r="K128" s="182"/>
      <c r="L128" s="182"/>
      <c r="M128" s="183"/>
    </row>
    <row r="129" spans="2:13" ht="16.899999999999999" customHeight="1" x14ac:dyDescent="0.25">
      <c r="B129" s="181"/>
      <c r="C129" s="182"/>
      <c r="D129" s="182"/>
      <c r="E129" s="184">
        <f t="shared" ref="E129" si="51">IF(E127&gt;E128,E102-E127,E102-E128)</f>
        <v>-6515.8499999999985</v>
      </c>
      <c r="F129" s="182"/>
      <c r="G129" s="182"/>
      <c r="H129" s="182"/>
      <c r="I129" s="182"/>
      <c r="J129" s="182"/>
      <c r="K129" s="182"/>
      <c r="L129" s="182"/>
      <c r="M129" s="183"/>
    </row>
    <row r="130" spans="2:13" ht="16.899999999999999" customHeight="1" x14ac:dyDescent="0.25">
      <c r="B130" s="181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3"/>
    </row>
    <row r="133" spans="2:13" x14ac:dyDescent="0.25">
      <c r="B133" s="160" t="s">
        <v>110</v>
      </c>
    </row>
    <row r="134" spans="2:13" x14ac:dyDescent="0.25">
      <c r="B134" s="157" t="s">
        <v>87</v>
      </c>
    </row>
    <row r="135" spans="2:13" x14ac:dyDescent="0.25">
      <c r="B135" s="158" t="s">
        <v>88</v>
      </c>
    </row>
    <row r="136" spans="2:13" x14ac:dyDescent="0.25">
      <c r="B136" s="158" t="s">
        <v>89</v>
      </c>
    </row>
    <row r="137" spans="2:13" x14ac:dyDescent="0.25">
      <c r="B137" s="158" t="s">
        <v>111</v>
      </c>
    </row>
    <row r="138" spans="2:13" x14ac:dyDescent="0.25">
      <c r="B138" s="158" t="s">
        <v>112</v>
      </c>
    </row>
    <row r="139" spans="2:13" x14ac:dyDescent="0.25">
      <c r="B139" s="159" t="s">
        <v>90</v>
      </c>
    </row>
    <row r="140" spans="2:13" x14ac:dyDescent="0.25">
      <c r="B140" s="160" t="s">
        <v>91</v>
      </c>
    </row>
    <row r="141" spans="2:13" x14ac:dyDescent="0.25">
      <c r="B141" s="157" t="s">
        <v>92</v>
      </c>
    </row>
    <row r="142" spans="2:13" x14ac:dyDescent="0.25">
      <c r="B142" s="161" t="s">
        <v>93</v>
      </c>
    </row>
    <row r="143" spans="2:13" x14ac:dyDescent="0.25">
      <c r="B143" s="161" t="s">
        <v>113</v>
      </c>
    </row>
    <row r="144" spans="2:13" x14ac:dyDescent="0.25">
      <c r="B144" s="161" t="s">
        <v>18</v>
      </c>
    </row>
    <row r="145" spans="2:2" x14ac:dyDescent="0.25">
      <c r="B145" s="159" t="s">
        <v>19</v>
      </c>
    </row>
    <row r="146" spans="2:2" x14ac:dyDescent="0.25">
      <c r="B146" s="160" t="s">
        <v>94</v>
      </c>
    </row>
    <row r="147" spans="2:2" x14ac:dyDescent="0.25">
      <c r="B147" s="157" t="s">
        <v>95</v>
      </c>
    </row>
    <row r="148" spans="2:2" x14ac:dyDescent="0.25">
      <c r="B148" s="159" t="s">
        <v>96</v>
      </c>
    </row>
    <row r="149" spans="2:2" x14ac:dyDescent="0.25">
      <c r="B149" s="162" t="s">
        <v>97</v>
      </c>
    </row>
    <row r="150" spans="2:2" x14ac:dyDescent="0.25">
      <c r="B150" s="157" t="s">
        <v>98</v>
      </c>
    </row>
    <row r="151" spans="2:2" x14ac:dyDescent="0.25">
      <c r="B151" s="158" t="s">
        <v>114</v>
      </c>
    </row>
    <row r="152" spans="2:2" x14ac:dyDescent="0.25">
      <c r="B152" s="158" t="s">
        <v>99</v>
      </c>
    </row>
    <row r="153" spans="2:2" x14ac:dyDescent="0.25">
      <c r="B153" s="158" t="s">
        <v>100</v>
      </c>
    </row>
    <row r="154" spans="2:2" x14ac:dyDescent="0.25">
      <c r="B154" s="158" t="s">
        <v>101</v>
      </c>
    </row>
    <row r="155" spans="2:2" x14ac:dyDescent="0.25">
      <c r="B155" s="158" t="s">
        <v>102</v>
      </c>
    </row>
    <row r="156" spans="2:2" x14ac:dyDescent="0.25">
      <c r="B156" s="158" t="s">
        <v>103</v>
      </c>
    </row>
    <row r="157" spans="2:2" x14ac:dyDescent="0.25">
      <c r="B157" s="158" t="s">
        <v>104</v>
      </c>
    </row>
    <row r="158" spans="2:2" x14ac:dyDescent="0.25">
      <c r="B158" s="158" t="s">
        <v>105</v>
      </c>
    </row>
    <row r="159" spans="2:2" x14ac:dyDescent="0.25">
      <c r="B159" s="159" t="s">
        <v>106</v>
      </c>
    </row>
    <row r="160" spans="2:2" x14ac:dyDescent="0.25">
      <c r="B160" s="160" t="s">
        <v>107</v>
      </c>
    </row>
    <row r="161" spans="2:2" x14ac:dyDescent="0.25">
      <c r="B161" s="157" t="s">
        <v>108</v>
      </c>
    </row>
    <row r="162" spans="2:2" x14ac:dyDescent="0.25">
      <c r="B162" s="163" t="s">
        <v>109</v>
      </c>
    </row>
    <row r="163" spans="2:2" x14ac:dyDescent="0.25">
      <c r="B163" s="164" t="s">
        <v>115</v>
      </c>
    </row>
  </sheetData>
  <conditionalFormatting sqref="C122:M122">
    <cfRule type="cellIs" dxfId="32" priority="3" stopIfTrue="1" operator="lessThan">
      <formula>#REF!</formula>
    </cfRule>
    <cfRule type="cellIs" dxfId="31" priority="4" operator="lessThan">
      <formula>#REF!</formula>
    </cfRule>
  </conditionalFormatting>
  <conditionalFormatting sqref="C126:M130">
    <cfRule type="cellIs" dxfId="30" priority="1" stopIfTrue="1" operator="lessThan">
      <formula>#REF!</formula>
    </cfRule>
    <cfRule type="cellIs" dxfId="29" priority="2" operator="lessThan">
      <formula>#REF!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Drop Down 1">
              <controlPr defaultSize="0" autoLine="0" autoPict="0">
                <anchor moveWithCells="1">
                  <from>
                    <xdr:col>11</xdr:col>
                    <xdr:colOff>0</xdr:colOff>
                    <xdr:row>7</xdr:row>
                    <xdr:rowOff>9525</xdr:rowOff>
                  </from>
                  <to>
                    <xdr:col>12</xdr:col>
                    <xdr:colOff>200025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Drop Down 2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Drop Down 3">
              <controlPr defaultSize="0" autoLine="0" autoPict="0">
                <anchor moveWithCells="1">
                  <from>
                    <xdr:col>12</xdr:col>
                    <xdr:colOff>0</xdr:colOff>
                    <xdr:row>7</xdr:row>
                    <xdr:rowOff>9525</xdr:rowOff>
                  </from>
                  <to>
                    <xdr:col>13</xdr:col>
                    <xdr:colOff>57150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Drop Down 4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647700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1"/>
  <sheetViews>
    <sheetView zoomScaleNormal="100" workbookViewId="0">
      <pane xSplit="2" topLeftCell="C1" activePane="topRight" state="frozen"/>
      <selection pane="topRight" activeCell="C98" sqref="C98:L99"/>
    </sheetView>
  </sheetViews>
  <sheetFormatPr defaultColWidth="9.140625" defaultRowHeight="12.75" outlineLevelRow="1" outlineLevelCol="1" x14ac:dyDescent="0.25"/>
  <cols>
    <col min="1" max="1" width="2.42578125" style="1" customWidth="1"/>
    <col min="2" max="2" width="39.140625" style="3" bestFit="1" customWidth="1"/>
    <col min="3" max="3" width="11.5703125" style="3" customWidth="1" outlineLevel="1"/>
    <col min="4" max="4" width="13.42578125" style="3" customWidth="1" outlineLevel="1"/>
    <col min="5" max="6" width="10.7109375" style="3" customWidth="1" outlineLevel="1"/>
    <col min="7" max="7" width="14.5703125" style="3" customWidth="1" outlineLevel="1"/>
    <col min="8" max="8" width="12.42578125" style="3" customWidth="1" outlineLevel="1"/>
    <col min="9" max="10" width="11.28515625" style="3" customWidth="1" outlineLevel="1"/>
    <col min="11" max="11" width="14" style="3" customWidth="1" outlineLevel="1"/>
    <col min="12" max="12" width="11.5703125" style="3" customWidth="1" outlineLevel="1"/>
    <col min="13" max="13" width="14" style="115" bestFit="1" customWidth="1"/>
    <col min="14" max="14" width="9.85546875" style="3" bestFit="1" customWidth="1"/>
    <col min="15" max="16384" width="9.140625" style="3"/>
  </cols>
  <sheetData>
    <row r="1" spans="1:15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2"/>
    </row>
    <row r="3" spans="1:15" ht="13.9" hidden="1" customHeight="1" outlineLevel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6">
        <v>1</v>
      </c>
    </row>
    <row r="4" spans="1:15" ht="13.9" hidden="1" customHeight="1" outlineLevel="1" x14ac:dyDescent="0.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6">
        <v>2</v>
      </c>
    </row>
    <row r="5" spans="1:15" ht="13.9" hidden="1" customHeight="1" outlineLevel="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6">
        <v>3</v>
      </c>
    </row>
    <row r="6" spans="1:15" ht="13.9" hidden="1" customHeight="1" outlineLevel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5" collapsed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5" s="11" customFormat="1" ht="12.75" customHeight="1" x14ac:dyDescent="0.25">
      <c r="A8" s="1"/>
      <c r="B8" s="7" t="s">
        <v>3</v>
      </c>
      <c r="C8" s="8"/>
      <c r="D8" s="8"/>
      <c r="E8" s="8"/>
      <c r="F8" s="8"/>
      <c r="G8" s="9"/>
      <c r="H8" s="9"/>
      <c r="I8" s="9"/>
      <c r="J8" s="9"/>
      <c r="K8" s="9"/>
      <c r="L8" s="8"/>
      <c r="M8" s="132"/>
    </row>
    <row r="9" spans="1:15" s="11" customFormat="1" ht="13.5" thickBot="1" x14ac:dyDescent="0.3">
      <c r="A9" s="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230"/>
    </row>
    <row r="10" spans="1:15" s="11" customFormat="1" ht="14.45" customHeight="1" thickTop="1" x14ac:dyDescent="0.25">
      <c r="A10" s="1"/>
      <c r="B10" s="14"/>
      <c r="C10" s="15" t="s">
        <v>65</v>
      </c>
      <c r="D10" s="15" t="s">
        <v>66</v>
      </c>
      <c r="E10" s="15" t="s">
        <v>67</v>
      </c>
      <c r="F10" s="15" t="s">
        <v>83</v>
      </c>
      <c r="G10" s="15" t="s">
        <v>82</v>
      </c>
      <c r="H10" s="15" t="s">
        <v>68</v>
      </c>
      <c r="I10" s="15" t="s">
        <v>69</v>
      </c>
      <c r="J10" s="15" t="s">
        <v>161</v>
      </c>
      <c r="K10" s="15" t="s">
        <v>70</v>
      </c>
      <c r="L10" s="15" t="s">
        <v>71</v>
      </c>
      <c r="M10" s="231" t="s">
        <v>4</v>
      </c>
    </row>
    <row r="11" spans="1:15" s="11" customFormat="1" x14ac:dyDescent="0.25">
      <c r="A11" s="1"/>
      <c r="B11" s="14"/>
      <c r="C11" s="16">
        <v>46112</v>
      </c>
      <c r="D11" s="16">
        <f>C11</f>
        <v>46112</v>
      </c>
      <c r="E11" s="16">
        <f t="shared" ref="E11:L11" si="0">D11</f>
        <v>46112</v>
      </c>
      <c r="F11" s="16">
        <f t="shared" si="0"/>
        <v>46112</v>
      </c>
      <c r="G11" s="16">
        <f t="shared" si="0"/>
        <v>46112</v>
      </c>
      <c r="H11" s="16">
        <f t="shared" si="0"/>
        <v>46112</v>
      </c>
      <c r="I11" s="16">
        <f t="shared" si="0"/>
        <v>46112</v>
      </c>
      <c r="J11" s="16">
        <f t="shared" si="0"/>
        <v>46112</v>
      </c>
      <c r="K11" s="16">
        <f t="shared" si="0"/>
        <v>46112</v>
      </c>
      <c r="L11" s="16">
        <f t="shared" si="0"/>
        <v>46112</v>
      </c>
      <c r="M11" s="119">
        <f>L11</f>
        <v>46112</v>
      </c>
    </row>
    <row r="12" spans="1:15" ht="16.5" customHeight="1" x14ac:dyDescent="0.25">
      <c r="B12" s="17"/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/>
      <c r="K12" s="18" t="s">
        <v>5</v>
      </c>
      <c r="L12" s="18" t="s">
        <v>5</v>
      </c>
      <c r="M12" s="120" t="s">
        <v>5</v>
      </c>
    </row>
    <row r="13" spans="1:15" x14ac:dyDescent="0.25">
      <c r="B13" s="17" t="s">
        <v>6</v>
      </c>
      <c r="C13" s="19">
        <f t="shared" ref="C13:L13" si="1">SUM(C14:C15)</f>
        <v>308400</v>
      </c>
      <c r="D13" s="19">
        <f t="shared" si="1"/>
        <v>72351</v>
      </c>
      <c r="E13" s="19">
        <f t="shared" si="1"/>
        <v>38103</v>
      </c>
      <c r="F13" s="19">
        <f t="shared" si="1"/>
        <v>58058</v>
      </c>
      <c r="G13" s="19">
        <f>SUM(G14:G15)</f>
        <v>18200</v>
      </c>
      <c r="H13" s="19">
        <f t="shared" si="1"/>
        <v>107491</v>
      </c>
      <c r="I13" s="19">
        <f t="shared" si="1"/>
        <v>0</v>
      </c>
      <c r="J13" s="19">
        <f t="shared" si="1"/>
        <v>212815</v>
      </c>
      <c r="K13" s="19">
        <f t="shared" si="1"/>
        <v>60208</v>
      </c>
      <c r="L13" s="19">
        <f t="shared" si="1"/>
        <v>194168</v>
      </c>
      <c r="M13" s="124">
        <f>SUM(M14:M15)</f>
        <v>1069794</v>
      </c>
      <c r="N13" s="19"/>
      <c r="O13" s="19"/>
    </row>
    <row r="14" spans="1:15" outlineLevel="1" x14ac:dyDescent="0.25">
      <c r="B14" s="23" t="s">
        <v>166</v>
      </c>
      <c r="C14" s="24">
        <f>306191+1528</f>
        <v>307719</v>
      </c>
      <c r="D14" s="24">
        <v>60927</v>
      </c>
      <c r="E14" s="24">
        <v>37316</v>
      </c>
      <c r="F14" s="24">
        <v>54204</v>
      </c>
      <c r="G14" s="24">
        <v>16937</v>
      </c>
      <c r="H14" s="24">
        <f>93512+2270+11709</f>
        <v>107491</v>
      </c>
      <c r="I14" s="24"/>
      <c r="J14" s="24">
        <v>186598</v>
      </c>
      <c r="K14" s="24">
        <v>60208</v>
      </c>
      <c r="L14" s="24">
        <v>167548</v>
      </c>
      <c r="M14" s="223">
        <f>SUM(C14:L14)</f>
        <v>998948</v>
      </c>
      <c r="N14" s="19"/>
      <c r="O14" s="19"/>
    </row>
    <row r="15" spans="1:15" outlineLevel="1" x14ac:dyDescent="0.25">
      <c r="B15" s="23" t="s">
        <v>8</v>
      </c>
      <c r="C15" s="26">
        <v>681</v>
      </c>
      <c r="D15" s="26">
        <f>4344+7080</f>
        <v>11424</v>
      </c>
      <c r="E15" s="26">
        <v>787</v>
      </c>
      <c r="F15" s="26">
        <v>3854</v>
      </c>
      <c r="G15" s="26">
        <v>1263</v>
      </c>
      <c r="H15" s="26"/>
      <c r="I15" s="26"/>
      <c r="J15" s="26">
        <f>26299-82</f>
        <v>26217</v>
      </c>
      <c r="K15" s="26"/>
      <c r="L15" s="26">
        <f>24720+1900</f>
        <v>26620</v>
      </c>
      <c r="M15" s="223">
        <f>SUM(C15:L15)</f>
        <v>70846</v>
      </c>
      <c r="N15" s="19"/>
      <c r="O15" s="19"/>
    </row>
    <row r="16" spans="1:15" outlineLevel="1" x14ac:dyDescent="0.25">
      <c r="B16" s="17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21"/>
      <c r="N16" s="19"/>
      <c r="O16" s="19"/>
    </row>
    <row r="17" spans="1:15" x14ac:dyDescent="0.25">
      <c r="B17" s="17" t="s">
        <v>9</v>
      </c>
      <c r="C17" s="27">
        <f t="shared" ref="C17:M17" si="2">SUM(C18:C20)</f>
        <v>-106010</v>
      </c>
      <c r="D17" s="27">
        <f t="shared" si="2"/>
        <v>-26906</v>
      </c>
      <c r="E17" s="27">
        <f t="shared" si="2"/>
        <v>-10913</v>
      </c>
      <c r="F17" s="27">
        <f t="shared" si="2"/>
        <v>-40241</v>
      </c>
      <c r="G17" s="27">
        <f t="shared" si="2"/>
        <v>-10978</v>
      </c>
      <c r="H17" s="27">
        <f t="shared" si="2"/>
        <v>-53683</v>
      </c>
      <c r="I17" s="27">
        <f t="shared" si="2"/>
        <v>0</v>
      </c>
      <c r="J17" s="27">
        <f t="shared" si="2"/>
        <v>-39967</v>
      </c>
      <c r="K17" s="27">
        <f t="shared" si="2"/>
        <v>-14723</v>
      </c>
      <c r="L17" s="27">
        <f t="shared" si="2"/>
        <v>-81828</v>
      </c>
      <c r="M17" s="124">
        <f t="shared" si="2"/>
        <v>-385249</v>
      </c>
      <c r="N17" s="19"/>
      <c r="O17" s="19"/>
    </row>
    <row r="18" spans="1:15" ht="15" outlineLevel="1" x14ac:dyDescent="0.25">
      <c r="A18" s="28"/>
      <c r="B18" s="23" t="s">
        <v>167</v>
      </c>
      <c r="C18" s="24">
        <v>-30086</v>
      </c>
      <c r="D18" s="24">
        <v>-8357</v>
      </c>
      <c r="E18" s="24">
        <v>-8892</v>
      </c>
      <c r="F18" s="24">
        <v>-39327</v>
      </c>
      <c r="G18" s="24">
        <v>-8694</v>
      </c>
      <c r="H18" s="24">
        <v>-45880</v>
      </c>
      <c r="I18" s="24"/>
      <c r="J18" s="24">
        <v>-39967</v>
      </c>
      <c r="K18" s="24">
        <v>-5545</v>
      </c>
      <c r="L18" s="24">
        <v>-55070</v>
      </c>
      <c r="M18" s="223">
        <f t="shared" ref="M18:M23" si="3">SUM(C18:L18)</f>
        <v>-241818</v>
      </c>
      <c r="N18" s="19"/>
      <c r="O18" s="19"/>
    </row>
    <row r="19" spans="1:15" ht="15" outlineLevel="1" x14ac:dyDescent="0.25">
      <c r="A19" s="28"/>
      <c r="B19" s="23" t="s">
        <v>186</v>
      </c>
      <c r="C19" s="262">
        <v>-75924</v>
      </c>
      <c r="D19" s="262">
        <v>-18549</v>
      </c>
      <c r="E19" s="262">
        <v>-2021</v>
      </c>
      <c r="F19" s="262"/>
      <c r="G19" s="262">
        <f>-1156-513</f>
        <v>-1669</v>
      </c>
      <c r="H19" s="262">
        <v>-7803</v>
      </c>
      <c r="I19" s="262"/>
      <c r="J19" s="262"/>
      <c r="K19" s="262">
        <v>-8900</v>
      </c>
      <c r="L19" s="262">
        <v>-26758</v>
      </c>
      <c r="M19" s="223">
        <f t="shared" si="3"/>
        <v>-141624</v>
      </c>
      <c r="N19" s="19"/>
      <c r="O19" s="19"/>
    </row>
    <row r="20" spans="1:15" ht="15" outlineLevel="1" x14ac:dyDescent="0.25">
      <c r="A20" s="28"/>
      <c r="B20" s="23" t="s">
        <v>168</v>
      </c>
      <c r="C20" s="25"/>
      <c r="D20" s="25"/>
      <c r="E20" s="25"/>
      <c r="F20" s="25">
        <v>-914</v>
      </c>
      <c r="G20" s="25">
        <v>-615</v>
      </c>
      <c r="H20" s="25"/>
      <c r="I20" s="25"/>
      <c r="J20" s="25"/>
      <c r="K20" s="25">
        <v>-278</v>
      </c>
      <c r="L20" s="25"/>
      <c r="M20" s="223">
        <f>SUM(C20:L20)</f>
        <v>-1807</v>
      </c>
      <c r="N20" s="19"/>
      <c r="O20" s="19"/>
    </row>
    <row r="21" spans="1:15" s="11" customFormat="1" ht="15" x14ac:dyDescent="0.25">
      <c r="A21" s="28"/>
      <c r="B21" s="30" t="s">
        <v>12</v>
      </c>
      <c r="C21" s="31">
        <f t="shared" ref="C21:L21" si="4">C13+C17</f>
        <v>202390</v>
      </c>
      <c r="D21" s="31">
        <f t="shared" si="4"/>
        <v>45445</v>
      </c>
      <c r="E21" s="31">
        <f t="shared" si="4"/>
        <v>27190</v>
      </c>
      <c r="F21" s="31">
        <f t="shared" si="4"/>
        <v>17817</v>
      </c>
      <c r="G21" s="31">
        <f t="shared" si="4"/>
        <v>7222</v>
      </c>
      <c r="H21" s="31">
        <f t="shared" si="4"/>
        <v>53808</v>
      </c>
      <c r="I21" s="31">
        <f t="shared" si="4"/>
        <v>0</v>
      </c>
      <c r="J21" s="31">
        <f t="shared" si="4"/>
        <v>172848</v>
      </c>
      <c r="K21" s="31">
        <f t="shared" si="4"/>
        <v>45485</v>
      </c>
      <c r="L21" s="31">
        <f t="shared" si="4"/>
        <v>112340</v>
      </c>
      <c r="M21" s="244">
        <f t="shared" si="3"/>
        <v>684545</v>
      </c>
      <c r="N21" s="19"/>
      <c r="O21" s="19"/>
    </row>
    <row r="22" spans="1:15" ht="15" x14ac:dyDescent="0.25">
      <c r="A22" s="28"/>
      <c r="B22" s="17" t="s">
        <v>169</v>
      </c>
      <c r="C22" s="25">
        <v>-8880</v>
      </c>
      <c r="D22" s="25">
        <v>-5289</v>
      </c>
      <c r="E22" s="25">
        <v>-2536</v>
      </c>
      <c r="F22" s="25">
        <v>-5058</v>
      </c>
      <c r="G22" s="25">
        <v>-17120</v>
      </c>
      <c r="H22" s="25">
        <v>-2151</v>
      </c>
      <c r="I22" s="25"/>
      <c r="J22" s="25">
        <v>-11880</v>
      </c>
      <c r="K22" s="25">
        <v>-1552</v>
      </c>
      <c r="L22" s="25">
        <v>-823</v>
      </c>
      <c r="M22" s="244">
        <f t="shared" si="3"/>
        <v>-55289</v>
      </c>
      <c r="N22" s="19"/>
      <c r="O22" s="19"/>
    </row>
    <row r="23" spans="1:15" ht="15" x14ac:dyDescent="0.25">
      <c r="A23" s="28"/>
      <c r="B23" s="30" t="s">
        <v>170</v>
      </c>
      <c r="C23" s="21">
        <f t="shared" ref="C23:L23" si="5">C21+C22</f>
        <v>193510</v>
      </c>
      <c r="D23" s="21">
        <f t="shared" si="5"/>
        <v>40156</v>
      </c>
      <c r="E23" s="21">
        <f t="shared" si="5"/>
        <v>24654</v>
      </c>
      <c r="F23" s="21">
        <f t="shared" si="5"/>
        <v>12759</v>
      </c>
      <c r="G23" s="21">
        <f t="shared" si="5"/>
        <v>-9898</v>
      </c>
      <c r="H23" s="21">
        <f t="shared" si="5"/>
        <v>51657</v>
      </c>
      <c r="I23" s="21">
        <f t="shared" si="5"/>
        <v>0</v>
      </c>
      <c r="J23" s="21">
        <f t="shared" si="5"/>
        <v>160968</v>
      </c>
      <c r="K23" s="21">
        <f t="shared" si="5"/>
        <v>43933</v>
      </c>
      <c r="L23" s="21">
        <f t="shared" si="5"/>
        <v>111517</v>
      </c>
      <c r="M23" s="223">
        <f t="shared" si="3"/>
        <v>629256</v>
      </c>
      <c r="N23" s="19"/>
      <c r="O23" s="19"/>
    </row>
    <row r="24" spans="1:15" ht="3.75" customHeight="1" x14ac:dyDescent="0.25">
      <c r="A24" s="28"/>
      <c r="B24" s="33"/>
      <c r="C24" s="19"/>
      <c r="D24" s="21"/>
      <c r="E24" s="19"/>
      <c r="F24" s="19"/>
      <c r="G24" s="19"/>
      <c r="H24" s="19"/>
      <c r="I24" s="19"/>
      <c r="J24" s="19"/>
      <c r="K24" s="19"/>
      <c r="L24" s="19"/>
      <c r="M24" s="125"/>
      <c r="N24" s="19"/>
      <c r="O24" s="19"/>
    </row>
    <row r="25" spans="1:15" s="11" customFormat="1" ht="15" x14ac:dyDescent="0.25">
      <c r="A25" s="28"/>
      <c r="B25" s="32" t="s">
        <v>173</v>
      </c>
      <c r="C25" s="27">
        <f t="shared" ref="C25:M25" si="6">SUM(C26:C28)</f>
        <v>28383</v>
      </c>
      <c r="D25" s="27">
        <f t="shared" si="6"/>
        <v>8796</v>
      </c>
      <c r="E25" s="27">
        <f>SUM(E26:E28)</f>
        <v>-1004</v>
      </c>
      <c r="F25" s="27">
        <f t="shared" si="6"/>
        <v>61231</v>
      </c>
      <c r="G25" s="27">
        <f t="shared" si="6"/>
        <v>2207</v>
      </c>
      <c r="H25" s="27">
        <f t="shared" si="6"/>
        <v>39621</v>
      </c>
      <c r="I25" s="27">
        <f t="shared" si="6"/>
        <v>0</v>
      </c>
      <c r="J25" s="27">
        <f t="shared" si="6"/>
        <v>38392</v>
      </c>
      <c r="K25" s="27">
        <f>SUM(K26:K28)</f>
        <v>17035</v>
      </c>
      <c r="L25" s="27">
        <f t="shared" si="6"/>
        <v>22747</v>
      </c>
      <c r="M25" s="124">
        <f t="shared" si="6"/>
        <v>217408</v>
      </c>
      <c r="N25" s="19"/>
      <c r="O25" s="19"/>
    </row>
    <row r="26" spans="1:15" s="11" customFormat="1" ht="15" x14ac:dyDescent="0.25">
      <c r="A26" s="28"/>
      <c r="B26" s="34" t="s">
        <v>171</v>
      </c>
      <c r="C26" s="29">
        <v>24207</v>
      </c>
      <c r="D26" s="29">
        <v>8431</v>
      </c>
      <c r="E26" s="29">
        <v>675</v>
      </c>
      <c r="F26" s="29">
        <v>60619</v>
      </c>
      <c r="G26" s="29">
        <v>2207</v>
      </c>
      <c r="H26" s="29">
        <v>39897</v>
      </c>
      <c r="I26" s="29"/>
      <c r="J26" s="29">
        <v>37529</v>
      </c>
      <c r="K26" s="29">
        <v>14098</v>
      </c>
      <c r="L26" s="29">
        <v>17214</v>
      </c>
      <c r="M26" s="223">
        <f t="shared" ref="M26:M28" si="7">SUM(C26:L26)</f>
        <v>204877</v>
      </c>
      <c r="N26" s="19"/>
      <c r="O26" s="19"/>
    </row>
    <row r="27" spans="1:15" s="11" customFormat="1" ht="15" x14ac:dyDescent="0.25">
      <c r="A27" s="28"/>
      <c r="B27" s="34" t="s">
        <v>172</v>
      </c>
      <c r="C27" s="29">
        <v>2537</v>
      </c>
      <c r="D27" s="29">
        <v>-876</v>
      </c>
      <c r="E27" s="29">
        <v>1073</v>
      </c>
      <c r="F27" s="29">
        <v>489</v>
      </c>
      <c r="G27" s="29"/>
      <c r="H27" s="29">
        <v>-276</v>
      </c>
      <c r="I27" s="29"/>
      <c r="J27" s="29"/>
      <c r="K27" s="29">
        <v>128</v>
      </c>
      <c r="L27" s="29"/>
      <c r="M27" s="223">
        <f t="shared" si="7"/>
        <v>3075</v>
      </c>
      <c r="N27" s="19"/>
      <c r="O27" s="19"/>
    </row>
    <row r="28" spans="1:15" s="11" customFormat="1" ht="15" x14ac:dyDescent="0.25">
      <c r="A28" s="28"/>
      <c r="B28" s="34" t="s">
        <v>17</v>
      </c>
      <c r="C28" s="29">
        <v>1639</v>
      </c>
      <c r="D28" s="29">
        <v>1241</v>
      </c>
      <c r="E28" s="29">
        <v>-2752</v>
      </c>
      <c r="F28" s="29">
        <v>123</v>
      </c>
      <c r="G28" s="29"/>
      <c r="H28" s="29"/>
      <c r="I28" s="29"/>
      <c r="J28" s="29">
        <v>863</v>
      </c>
      <c r="K28" s="29">
        <v>2809</v>
      </c>
      <c r="L28" s="29">
        <v>5533</v>
      </c>
      <c r="M28" s="223">
        <f t="shared" si="7"/>
        <v>9456</v>
      </c>
      <c r="N28" s="19"/>
      <c r="O28" s="19"/>
    </row>
    <row r="29" spans="1:15" s="11" customFormat="1" ht="15" x14ac:dyDescent="0.25">
      <c r="A29" s="28"/>
      <c r="B29" s="32" t="s">
        <v>18</v>
      </c>
      <c r="C29" s="36">
        <f t="shared" ref="C29:M29" si="8">C23+C25</f>
        <v>221893</v>
      </c>
      <c r="D29" s="36">
        <f t="shared" si="8"/>
        <v>48952</v>
      </c>
      <c r="E29" s="36">
        <f t="shared" si="8"/>
        <v>23650</v>
      </c>
      <c r="F29" s="36">
        <f>F23+F25</f>
        <v>73990</v>
      </c>
      <c r="G29" s="36">
        <f t="shared" si="8"/>
        <v>-7691</v>
      </c>
      <c r="H29" s="36">
        <f t="shared" si="8"/>
        <v>91278</v>
      </c>
      <c r="I29" s="36">
        <f t="shared" si="8"/>
        <v>0</v>
      </c>
      <c r="J29" s="36">
        <f t="shared" si="8"/>
        <v>199360</v>
      </c>
      <c r="K29" s="36">
        <f>K23+K25</f>
        <v>60968</v>
      </c>
      <c r="L29" s="36">
        <f t="shared" si="8"/>
        <v>134264</v>
      </c>
      <c r="M29" s="126">
        <f t="shared" si="8"/>
        <v>846664</v>
      </c>
      <c r="N29" s="19"/>
      <c r="O29" s="19"/>
    </row>
    <row r="30" spans="1:15" s="11" customFormat="1" ht="12" customHeight="1" x14ac:dyDescent="0.25">
      <c r="A30" s="28"/>
      <c r="B30" s="34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21"/>
      <c r="N30" s="19"/>
      <c r="O30" s="19"/>
    </row>
    <row r="31" spans="1:15" s="11" customFormat="1" ht="15" x14ac:dyDescent="0.25">
      <c r="A31" s="28"/>
      <c r="B31" s="32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1"/>
      <c r="N31" s="19"/>
      <c r="O31" s="19"/>
    </row>
    <row r="32" spans="1:15" s="11" customFormat="1" ht="15" customHeight="1" x14ac:dyDescent="0.25">
      <c r="A32" s="28"/>
      <c r="B32" s="37" t="s">
        <v>20</v>
      </c>
      <c r="C32" s="39">
        <v>-5278</v>
      </c>
      <c r="D32" s="39">
        <v>-2402</v>
      </c>
      <c r="E32" s="39">
        <v>-658</v>
      </c>
      <c r="F32" s="39">
        <v>-3376</v>
      </c>
      <c r="G32" s="39">
        <v>-1220</v>
      </c>
      <c r="H32" s="39">
        <v>-2880</v>
      </c>
      <c r="I32" s="39"/>
      <c r="J32" s="39">
        <v>-5921</v>
      </c>
      <c r="K32" s="39">
        <v>-2603</v>
      </c>
      <c r="L32" s="39">
        <v>-7052</v>
      </c>
      <c r="M32" s="223">
        <f>SUM(C32:L32)</f>
        <v>-31390</v>
      </c>
      <c r="N32" s="19"/>
      <c r="O32" s="19"/>
    </row>
    <row r="33" spans="1:15" s="11" customFormat="1" ht="11.45" customHeight="1" x14ac:dyDescent="0.25">
      <c r="A33" s="28"/>
      <c r="B33" s="17" t="s">
        <v>21</v>
      </c>
      <c r="C33" s="39">
        <v>-87835</v>
      </c>
      <c r="D33" s="39">
        <v>-36016</v>
      </c>
      <c r="E33" s="39">
        <v>-20252</v>
      </c>
      <c r="F33" s="39">
        <v>-34883</v>
      </c>
      <c r="G33" s="39">
        <v>-11535</v>
      </c>
      <c r="H33" s="39">
        <v>-44919</v>
      </c>
      <c r="I33" s="39"/>
      <c r="J33" s="39">
        <v>-134271</v>
      </c>
      <c r="K33" s="39">
        <v>-44409</v>
      </c>
      <c r="L33" s="39">
        <v>-90951</v>
      </c>
      <c r="M33" s="223">
        <f>SUM(C33:L33)</f>
        <v>-505071</v>
      </c>
      <c r="N33" s="19"/>
      <c r="O33" s="19"/>
    </row>
    <row r="34" spans="1:15" s="11" customFormat="1" ht="10.5" customHeight="1" x14ac:dyDescent="0.25">
      <c r="A34" s="28"/>
      <c r="B34" s="40" t="s">
        <v>22</v>
      </c>
      <c r="C34" s="41">
        <f>SUM(C32:C33)</f>
        <v>-93113</v>
      </c>
      <c r="D34" s="41">
        <f t="shared" ref="D34:M34" si="9">SUM(D32:D33)</f>
        <v>-38418</v>
      </c>
      <c r="E34" s="41">
        <f t="shared" si="9"/>
        <v>-20910</v>
      </c>
      <c r="F34" s="41">
        <f t="shared" ref="F34:L34" si="10">SUM(F32:F33)</f>
        <v>-38259</v>
      </c>
      <c r="G34" s="41">
        <f t="shared" si="10"/>
        <v>-12755</v>
      </c>
      <c r="H34" s="41">
        <f t="shared" si="10"/>
        <v>-47799</v>
      </c>
      <c r="I34" s="41">
        <f t="shared" si="10"/>
        <v>0</v>
      </c>
      <c r="J34" s="41">
        <f t="shared" si="10"/>
        <v>-140192</v>
      </c>
      <c r="K34" s="41">
        <f t="shared" si="10"/>
        <v>-47012</v>
      </c>
      <c r="L34" s="41">
        <f t="shared" si="10"/>
        <v>-98003</v>
      </c>
      <c r="M34" s="128">
        <f t="shared" si="9"/>
        <v>-536461</v>
      </c>
      <c r="N34" s="19"/>
      <c r="O34" s="19">
        <f>J34+J29</f>
        <v>59168</v>
      </c>
    </row>
    <row r="35" spans="1:15" s="11" customFormat="1" ht="12.75" customHeight="1" x14ac:dyDescent="0.25">
      <c r="A35" s="28"/>
      <c r="B35" s="1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232"/>
      <c r="N35" s="19"/>
      <c r="O35" s="19"/>
    </row>
    <row r="36" spans="1:15" s="11" customFormat="1" ht="15" x14ac:dyDescent="0.25">
      <c r="A36" s="28"/>
      <c r="B36" s="40" t="s">
        <v>23</v>
      </c>
      <c r="C36" s="35">
        <f t="shared" ref="C36:M36" si="11">C29+C34</f>
        <v>128780</v>
      </c>
      <c r="D36" s="35">
        <f t="shared" si="11"/>
        <v>10534</v>
      </c>
      <c r="E36" s="35">
        <f t="shared" si="11"/>
        <v>2740</v>
      </c>
      <c r="F36" s="35">
        <f t="shared" ref="F36:L36" si="12">F29+F34</f>
        <v>35731</v>
      </c>
      <c r="G36" s="35">
        <f t="shared" si="12"/>
        <v>-20446</v>
      </c>
      <c r="H36" s="35">
        <f t="shared" si="12"/>
        <v>43479</v>
      </c>
      <c r="I36" s="35">
        <f t="shared" si="12"/>
        <v>0</v>
      </c>
      <c r="J36" s="35">
        <f t="shared" si="12"/>
        <v>59168</v>
      </c>
      <c r="K36" s="35">
        <f t="shared" si="12"/>
        <v>13956</v>
      </c>
      <c r="L36" s="35">
        <f t="shared" si="12"/>
        <v>36261</v>
      </c>
      <c r="M36" s="129">
        <f t="shared" si="11"/>
        <v>310203</v>
      </c>
      <c r="N36" s="19"/>
      <c r="O36" s="19"/>
    </row>
    <row r="37" spans="1:15" s="11" customFormat="1" ht="15" x14ac:dyDescent="0.25">
      <c r="A37" s="28"/>
      <c r="B37" s="40" t="s">
        <v>24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245">
        <f>SUM(C37:L37)</f>
        <v>0</v>
      </c>
      <c r="N37" s="19"/>
      <c r="O37" s="19"/>
    </row>
    <row r="38" spans="1:15" s="11" customFormat="1" ht="15" x14ac:dyDescent="0.25">
      <c r="A38" s="28"/>
      <c r="B38" s="40" t="s">
        <v>25</v>
      </c>
      <c r="C38" s="21">
        <f>SUM(C36:C37)</f>
        <v>128780</v>
      </c>
      <c r="D38" s="21">
        <f t="shared" ref="D38:E38" si="13">SUM(D36:D37)</f>
        <v>10534</v>
      </c>
      <c r="E38" s="21">
        <f t="shared" si="13"/>
        <v>2740</v>
      </c>
      <c r="F38" s="21">
        <f t="shared" ref="F38:L38" si="14">SUM(F36:F37)</f>
        <v>35731</v>
      </c>
      <c r="G38" s="21">
        <f t="shared" si="14"/>
        <v>-20446</v>
      </c>
      <c r="H38" s="21">
        <f t="shared" si="14"/>
        <v>43479</v>
      </c>
      <c r="I38" s="21">
        <f t="shared" si="14"/>
        <v>0</v>
      </c>
      <c r="J38" s="21">
        <f t="shared" si="14"/>
        <v>59168</v>
      </c>
      <c r="K38" s="21">
        <f t="shared" si="14"/>
        <v>13956</v>
      </c>
      <c r="L38" s="21">
        <f t="shared" si="14"/>
        <v>36261</v>
      </c>
      <c r="M38" s="223">
        <f>SUM(C38:L38)</f>
        <v>310203</v>
      </c>
      <c r="N38" s="19"/>
      <c r="O38" s="19"/>
    </row>
    <row r="39" spans="1:15" ht="15" x14ac:dyDescent="0.25">
      <c r="A39" s="28"/>
      <c r="B39" s="17" t="s">
        <v>26</v>
      </c>
      <c r="C39" s="26">
        <v>-38698</v>
      </c>
      <c r="D39" s="26">
        <v>-3160</v>
      </c>
      <c r="E39" s="26">
        <v>-822</v>
      </c>
      <c r="F39" s="26">
        <v>-12463</v>
      </c>
      <c r="G39" s="26">
        <v>0</v>
      </c>
      <c r="H39" s="26">
        <v>-13044</v>
      </c>
      <c r="I39" s="26"/>
      <c r="J39" s="26"/>
      <c r="K39" s="26">
        <v>-3900</v>
      </c>
      <c r="L39" s="26"/>
      <c r="M39" s="223">
        <f>SUM(C39:L39)</f>
        <v>-72087</v>
      </c>
      <c r="N39" s="19"/>
      <c r="O39" s="19"/>
    </row>
    <row r="40" spans="1:15" s="11" customFormat="1" ht="15" x14ac:dyDescent="0.25">
      <c r="A40" s="28"/>
      <c r="B40" s="40" t="s">
        <v>27</v>
      </c>
      <c r="C40" s="43">
        <f>SUM(C38:C39)</f>
        <v>90082</v>
      </c>
      <c r="D40" s="43">
        <f t="shared" ref="D40:M40" si="15">SUM(D38:D39)</f>
        <v>7374</v>
      </c>
      <c r="E40" s="43">
        <f>SUM(E38:E39)</f>
        <v>1918</v>
      </c>
      <c r="F40" s="43">
        <f t="shared" ref="F40:L40" si="16">SUM(F38:F39)</f>
        <v>23268</v>
      </c>
      <c r="G40" s="43">
        <f>SUM(G38:G39)</f>
        <v>-20446</v>
      </c>
      <c r="H40" s="43">
        <f t="shared" si="16"/>
        <v>30435</v>
      </c>
      <c r="I40" s="43">
        <f t="shared" si="16"/>
        <v>0</v>
      </c>
      <c r="J40" s="43">
        <f t="shared" si="16"/>
        <v>59168</v>
      </c>
      <c r="K40" s="43">
        <f t="shared" si="16"/>
        <v>10056</v>
      </c>
      <c r="L40" s="43">
        <f t="shared" si="16"/>
        <v>36261</v>
      </c>
      <c r="M40" s="130">
        <f t="shared" si="15"/>
        <v>238116</v>
      </c>
      <c r="N40" s="19"/>
      <c r="O40" s="19"/>
    </row>
    <row r="41" spans="1:15" s="11" customFormat="1" ht="15.75" x14ac:dyDescent="0.25">
      <c r="A41" s="28"/>
      <c r="B41" s="40"/>
      <c r="C41" s="292"/>
      <c r="D41" s="292"/>
      <c r="E41" s="292"/>
      <c r="F41" s="292"/>
      <c r="G41" s="292"/>
      <c r="H41" s="292"/>
      <c r="I41" s="45"/>
      <c r="J41" s="292"/>
      <c r="K41" s="292"/>
      <c r="L41" s="292"/>
      <c r="M41" s="129"/>
    </row>
    <row r="42" spans="1:15" s="11" customFormat="1" ht="15" x14ac:dyDescent="0.25">
      <c r="A42" s="28"/>
      <c r="B42" s="32"/>
      <c r="D42" s="47"/>
      <c r="I42" s="47"/>
      <c r="J42" s="47"/>
      <c r="K42" s="47"/>
      <c r="L42" s="47"/>
      <c r="M42" s="233"/>
    </row>
    <row r="43" spans="1:15" s="11" customFormat="1" ht="15.75" thickBot="1" x14ac:dyDescent="0.3">
      <c r="A43" s="28"/>
      <c r="B43" s="49" t="s">
        <v>28</v>
      </c>
      <c r="C43" s="260" t="str">
        <f>C10</f>
        <v>Bayport</v>
      </c>
      <c r="D43" s="260" t="str">
        <f t="shared" ref="D43:L43" si="17">D10</f>
        <v>EFC</v>
      </c>
      <c r="E43" s="260" t="str">
        <f t="shared" si="17"/>
        <v>Finca</v>
      </c>
      <c r="F43" s="260" t="str">
        <f t="shared" si="17"/>
        <v>LOLC Finance</v>
      </c>
      <c r="G43" s="260" t="str">
        <f t="shared" si="17"/>
        <v>Madison Finance</v>
      </c>
      <c r="H43" s="260" t="str">
        <f t="shared" si="17"/>
        <v>Microfinance</v>
      </c>
      <c r="I43" s="260" t="str">
        <f t="shared" si="17"/>
        <v>MyBucks</v>
      </c>
      <c r="J43" s="260" t="str">
        <f t="shared" si="17"/>
        <v>Natsave</v>
      </c>
      <c r="K43" s="260" t="str">
        <f t="shared" si="17"/>
        <v>Vision Fund</v>
      </c>
      <c r="L43" s="260" t="str">
        <f t="shared" si="17"/>
        <v>ZNBS</v>
      </c>
      <c r="M43" s="230"/>
    </row>
    <row r="44" spans="1:15" s="11" customFormat="1" ht="15.75" thickTop="1" x14ac:dyDescent="0.25">
      <c r="A44" s="28"/>
      <c r="B44" s="50"/>
      <c r="C44" s="16">
        <f>C11</f>
        <v>46112</v>
      </c>
      <c r="D44" s="16">
        <f>C44</f>
        <v>46112</v>
      </c>
      <c r="E44" s="16">
        <f t="shared" ref="E44" si="18">D44</f>
        <v>46112</v>
      </c>
      <c r="F44" s="16">
        <f t="shared" ref="F44" si="19">E44</f>
        <v>46112</v>
      </c>
      <c r="G44" s="16">
        <f t="shared" ref="G44" si="20">F44</f>
        <v>46112</v>
      </c>
      <c r="H44" s="16">
        <f t="shared" ref="H44" si="21">G44</f>
        <v>46112</v>
      </c>
      <c r="I44" s="16">
        <f t="shared" ref="I44" si="22">H44</f>
        <v>46112</v>
      </c>
      <c r="J44" s="16">
        <f t="shared" ref="J44" si="23">I44</f>
        <v>46112</v>
      </c>
      <c r="K44" s="16">
        <f t="shared" ref="K44" si="24">J44</f>
        <v>46112</v>
      </c>
      <c r="L44" s="16">
        <f t="shared" ref="L44" si="25">K44</f>
        <v>46112</v>
      </c>
      <c r="M44" s="119">
        <f>L44</f>
        <v>46112</v>
      </c>
    </row>
    <row r="45" spans="1:15" s="11" customFormat="1" ht="15" x14ac:dyDescent="0.25">
      <c r="A45" s="28"/>
      <c r="B45" s="50"/>
      <c r="C45" s="18" t="s">
        <v>5</v>
      </c>
      <c r="D45" s="18" t="s">
        <v>5</v>
      </c>
      <c r="E45" s="18" t="s">
        <v>5</v>
      </c>
      <c r="F45" s="18" t="s">
        <v>5</v>
      </c>
      <c r="G45" s="18" t="s">
        <v>5</v>
      </c>
      <c r="H45" s="18" t="s">
        <v>5</v>
      </c>
      <c r="I45" s="18" t="s">
        <v>5</v>
      </c>
      <c r="J45" s="18" t="s">
        <v>5</v>
      </c>
      <c r="K45" s="18" t="s">
        <v>5</v>
      </c>
      <c r="L45" s="18" t="s">
        <v>5</v>
      </c>
      <c r="M45" s="120" t="s">
        <v>5</v>
      </c>
    </row>
    <row r="46" spans="1:15" s="11" customFormat="1" ht="18.75" customHeight="1" x14ac:dyDescent="0.25">
      <c r="A46" s="28"/>
      <c r="B46" s="32" t="s">
        <v>29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32"/>
    </row>
    <row r="47" spans="1:15" s="11" customFormat="1" ht="13.5" customHeight="1" x14ac:dyDescent="0.25">
      <c r="A47" s="28"/>
      <c r="B47" s="34" t="s">
        <v>72</v>
      </c>
      <c r="C47" s="39">
        <f>482530+4183</f>
        <v>486713</v>
      </c>
      <c r="D47" s="39">
        <f>196750+5329</f>
        <v>202079</v>
      </c>
      <c r="E47" s="39">
        <v>85429</v>
      </c>
      <c r="F47" s="39">
        <f>14+391773</f>
        <v>391787</v>
      </c>
      <c r="G47" s="39">
        <f>754+1232</f>
        <v>1986</v>
      </c>
      <c r="H47" s="39">
        <f>194434</f>
        <v>194434</v>
      </c>
      <c r="I47" s="39"/>
      <c r="J47" s="39">
        <v>138203</v>
      </c>
      <c r="K47" s="39">
        <v>42815</v>
      </c>
      <c r="L47" s="39">
        <v>421233</v>
      </c>
      <c r="M47" s="223">
        <f t="shared" ref="M47:M53" si="26">SUM(C47:L47)</f>
        <v>1964679</v>
      </c>
    </row>
    <row r="48" spans="1:15" s="11" customFormat="1" ht="13.5" customHeight="1" x14ac:dyDescent="0.25">
      <c r="A48" s="28"/>
      <c r="B48" s="34" t="s">
        <v>183</v>
      </c>
      <c r="C48" s="39"/>
      <c r="D48" s="39">
        <v>114322</v>
      </c>
      <c r="E48" s="39">
        <v>16777</v>
      </c>
      <c r="F48" s="39"/>
      <c r="G48" s="39">
        <v>34898</v>
      </c>
      <c r="H48" s="39">
        <v>289536</v>
      </c>
      <c r="I48" s="39"/>
      <c r="J48" s="39">
        <v>757718</v>
      </c>
      <c r="K48" s="39"/>
      <c r="L48" s="39">
        <v>611628</v>
      </c>
      <c r="M48" s="223">
        <f t="shared" si="26"/>
        <v>1824879</v>
      </c>
    </row>
    <row r="49" spans="1:15" s="11" customFormat="1" ht="13.5" customHeight="1" x14ac:dyDescent="0.25">
      <c r="A49" s="28"/>
      <c r="B49" s="34" t="s">
        <v>74</v>
      </c>
      <c r="C49" s="39">
        <v>3789722</v>
      </c>
      <c r="D49" s="39">
        <v>448156</v>
      </c>
      <c r="E49" s="39">
        <v>218151</v>
      </c>
      <c r="F49" s="39">
        <v>865674</v>
      </c>
      <c r="G49" s="39">
        <v>189780</v>
      </c>
      <c r="H49" s="39">
        <v>1101541</v>
      </c>
      <c r="I49" s="39"/>
      <c r="J49" s="39">
        <v>2296401</v>
      </c>
      <c r="K49" s="39">
        <v>417331</v>
      </c>
      <c r="L49" s="39">
        <v>2619524</v>
      </c>
      <c r="M49" s="223">
        <f t="shared" si="26"/>
        <v>11946280</v>
      </c>
    </row>
    <row r="50" spans="1:15" ht="15" x14ac:dyDescent="0.25">
      <c r="A50" s="28"/>
      <c r="B50" s="34" t="s">
        <v>75</v>
      </c>
      <c r="C50" s="226"/>
      <c r="D50" s="226"/>
      <c r="E50" s="226">
        <v>-32106</v>
      </c>
      <c r="F50" s="226">
        <v>-54301</v>
      </c>
      <c r="G50" s="226"/>
      <c r="H50" s="226"/>
      <c r="I50" s="226"/>
      <c r="J50" s="226"/>
      <c r="K50" s="226">
        <v>-4855</v>
      </c>
      <c r="L50" s="226"/>
      <c r="M50" s="223">
        <f t="shared" si="26"/>
        <v>-91262</v>
      </c>
    </row>
    <row r="51" spans="1:15" ht="15" x14ac:dyDescent="0.25">
      <c r="A51" s="28"/>
      <c r="B51" s="34" t="s">
        <v>176</v>
      </c>
      <c r="C51" s="246">
        <f>SUM(C49:C50)</f>
        <v>3789722</v>
      </c>
      <c r="D51" s="246">
        <f t="shared" ref="D51:M51" si="27">SUM(D49:D50)</f>
        <v>448156</v>
      </c>
      <c r="E51" s="246">
        <f t="shared" si="27"/>
        <v>186045</v>
      </c>
      <c r="F51" s="246">
        <f>SUM(F49:F50)</f>
        <v>811373</v>
      </c>
      <c r="G51" s="246">
        <f t="shared" si="27"/>
        <v>189780</v>
      </c>
      <c r="H51" s="246">
        <f t="shared" si="27"/>
        <v>1101541</v>
      </c>
      <c r="I51" s="246">
        <f t="shared" si="27"/>
        <v>0</v>
      </c>
      <c r="J51" s="246">
        <f t="shared" si="27"/>
        <v>2296401</v>
      </c>
      <c r="K51" s="246">
        <f t="shared" si="27"/>
        <v>412476</v>
      </c>
      <c r="L51" s="246">
        <f t="shared" si="27"/>
        <v>2619524</v>
      </c>
      <c r="M51" s="223">
        <f t="shared" si="27"/>
        <v>11855018</v>
      </c>
    </row>
    <row r="52" spans="1:15" ht="15" x14ac:dyDescent="0.25">
      <c r="A52" s="28"/>
      <c r="B52" s="17" t="s">
        <v>77</v>
      </c>
      <c r="C52" s="39">
        <v>44621</v>
      </c>
      <c r="D52" s="39">
        <v>77232</v>
      </c>
      <c r="E52" s="39">
        <v>13042</v>
      </c>
      <c r="F52" s="39">
        <v>17107</v>
      </c>
      <c r="G52" s="39">
        <v>2590</v>
      </c>
      <c r="H52" s="39">
        <v>22504</v>
      </c>
      <c r="I52" s="39"/>
      <c r="J52" s="39">
        <v>133179</v>
      </c>
      <c r="K52" s="39">
        <v>35321</v>
      </c>
      <c r="L52" s="39">
        <v>418327</v>
      </c>
      <c r="M52" s="223">
        <f t="shared" si="26"/>
        <v>763923</v>
      </c>
    </row>
    <row r="53" spans="1:15" ht="15" outlineLevel="1" x14ac:dyDescent="0.25">
      <c r="A53" s="28"/>
      <c r="B53" s="17" t="s">
        <v>78</v>
      </c>
      <c r="C53" s="39">
        <v>141838</v>
      </c>
      <c r="D53" s="39">
        <f>15130+1</f>
        <v>15131</v>
      </c>
      <c r="E53" s="39">
        <v>45193</v>
      </c>
      <c r="F53" s="39">
        <v>107401</v>
      </c>
      <c r="G53" s="39">
        <v>30732</v>
      </c>
      <c r="H53" s="39">
        <v>173285</v>
      </c>
      <c r="I53" s="39"/>
      <c r="J53" s="39">
        <f>412272+112837</f>
        <v>525109</v>
      </c>
      <c r="K53" s="39">
        <v>49383</v>
      </c>
      <c r="L53" s="39">
        <f>225878+28166</f>
        <v>254044</v>
      </c>
      <c r="M53" s="223">
        <f t="shared" si="26"/>
        <v>1342116</v>
      </c>
    </row>
    <row r="54" spans="1:15" ht="13.5" thickBot="1" x14ac:dyDescent="0.3">
      <c r="B54" s="32" t="s">
        <v>30</v>
      </c>
      <c r="C54" s="51">
        <f t="shared" ref="C54:M54" si="28">SUM(C47:C48)+C51+C52+C53</f>
        <v>4462894</v>
      </c>
      <c r="D54" s="51">
        <f t="shared" si="28"/>
        <v>856920</v>
      </c>
      <c r="E54" s="51">
        <f t="shared" si="28"/>
        <v>346486</v>
      </c>
      <c r="F54" s="51">
        <f t="shared" si="28"/>
        <v>1327668</v>
      </c>
      <c r="G54" s="51">
        <f t="shared" si="28"/>
        <v>259986</v>
      </c>
      <c r="H54" s="51">
        <f t="shared" si="28"/>
        <v>1781300</v>
      </c>
      <c r="I54" s="51">
        <f t="shared" si="28"/>
        <v>0</v>
      </c>
      <c r="J54" s="51">
        <f t="shared" si="28"/>
        <v>3850610</v>
      </c>
      <c r="K54" s="51">
        <f t="shared" si="28"/>
        <v>539995</v>
      </c>
      <c r="L54" s="51">
        <f t="shared" si="28"/>
        <v>4324756</v>
      </c>
      <c r="M54" s="234">
        <f t="shared" si="28"/>
        <v>17750615</v>
      </c>
      <c r="N54" s="19">
        <f>SUM(C54:L54)</f>
        <v>17750615</v>
      </c>
      <c r="O54" s="19">
        <f>M54-N54</f>
        <v>0</v>
      </c>
    </row>
    <row r="55" spans="1:15" ht="13.5" thickTop="1" x14ac:dyDescent="0.25">
      <c r="B55" s="17"/>
      <c r="C55" s="294"/>
      <c r="D55" s="294"/>
      <c r="E55" s="45"/>
      <c r="F55" s="294"/>
      <c r="G55" s="294"/>
      <c r="H55" s="294"/>
      <c r="I55" s="45"/>
      <c r="J55" s="294"/>
      <c r="K55" s="294"/>
      <c r="L55" s="294"/>
      <c r="M55" s="223"/>
    </row>
    <row r="56" spans="1:15" x14ac:dyDescent="0.25">
      <c r="B56" s="32" t="s">
        <v>31</v>
      </c>
      <c r="C56" s="48"/>
      <c r="D56" s="46"/>
      <c r="E56" s="48"/>
      <c r="F56" s="48"/>
      <c r="G56" s="48"/>
      <c r="H56" s="48">
        <v>0</v>
      </c>
      <c r="I56" s="46"/>
      <c r="J56" s="46"/>
      <c r="K56" s="46"/>
      <c r="L56" s="46"/>
      <c r="M56" s="235"/>
    </row>
    <row r="57" spans="1:15" x14ac:dyDescent="0.25">
      <c r="B57" s="32" t="s">
        <v>187</v>
      </c>
      <c r="C57" s="48">
        <f>SUM(C58:C59)</f>
        <v>756395</v>
      </c>
      <c r="D57" s="48">
        <f t="shared" ref="D57:M57" si="29">SUM(D58:D59)</f>
        <v>254345</v>
      </c>
      <c r="E57" s="48">
        <f t="shared" si="29"/>
        <v>222761</v>
      </c>
      <c r="F57" s="48">
        <f t="shared" si="29"/>
        <v>962626</v>
      </c>
      <c r="G57" s="48">
        <f t="shared" si="29"/>
        <v>223471</v>
      </c>
      <c r="H57" s="48">
        <f t="shared" si="29"/>
        <v>950195</v>
      </c>
      <c r="I57" s="48">
        <f t="shared" si="29"/>
        <v>0</v>
      </c>
      <c r="J57" s="48">
        <f t="shared" si="29"/>
        <v>2732439</v>
      </c>
      <c r="K57" s="48">
        <f t="shared" si="29"/>
        <v>49489</v>
      </c>
      <c r="L57" s="48">
        <f t="shared" si="29"/>
        <v>2091787</v>
      </c>
      <c r="M57" s="223">
        <f t="shared" si="29"/>
        <v>8243508</v>
      </c>
    </row>
    <row r="58" spans="1:15" x14ac:dyDescent="0.25">
      <c r="B58" s="17" t="s">
        <v>76</v>
      </c>
      <c r="C58" s="266">
        <v>756395</v>
      </c>
      <c r="D58" s="266">
        <v>254345</v>
      </c>
      <c r="E58" s="266">
        <v>222761</v>
      </c>
      <c r="F58" s="266">
        <v>961578</v>
      </c>
      <c r="G58" s="266">
        <v>223471</v>
      </c>
      <c r="H58" s="266">
        <v>950195</v>
      </c>
      <c r="I58" s="266"/>
      <c r="J58" s="266">
        <v>2732439</v>
      </c>
      <c r="K58" s="266">
        <v>49489</v>
      </c>
      <c r="L58" s="268">
        <v>2091787</v>
      </c>
      <c r="M58" s="139">
        <f t="shared" ref="M58:M65" si="30">SUM(C58:L58)</f>
        <v>8242460</v>
      </c>
    </row>
    <row r="59" spans="1:15" x14ac:dyDescent="0.25">
      <c r="B59" s="17" t="s">
        <v>177</v>
      </c>
      <c r="C59" s="267"/>
      <c r="D59" s="267"/>
      <c r="E59" s="267"/>
      <c r="F59" s="267">
        <v>1048</v>
      </c>
      <c r="G59" s="267"/>
      <c r="H59" s="267"/>
      <c r="I59" s="267"/>
      <c r="J59" s="267"/>
      <c r="K59" s="267"/>
      <c r="L59" s="269"/>
      <c r="M59" s="140">
        <f t="shared" si="30"/>
        <v>1048</v>
      </c>
    </row>
    <row r="60" spans="1:15" x14ac:dyDescent="0.25">
      <c r="B60" s="17" t="s">
        <v>185</v>
      </c>
      <c r="C60" s="26"/>
      <c r="D60" s="26">
        <v>48100</v>
      </c>
      <c r="E60" s="26"/>
      <c r="F60" s="26"/>
      <c r="G60" s="26"/>
      <c r="H60" s="26">
        <v>56000</v>
      </c>
      <c r="I60" s="26"/>
      <c r="J60" s="26"/>
      <c r="K60" s="26"/>
      <c r="L60" s="220">
        <v>319529</v>
      </c>
      <c r="M60" s="223">
        <f t="shared" si="30"/>
        <v>423629</v>
      </c>
    </row>
    <row r="61" spans="1:15" x14ac:dyDescent="0.25">
      <c r="B61" s="17" t="s">
        <v>79</v>
      </c>
      <c r="C61" s="26">
        <v>610894</v>
      </c>
      <c r="D61" s="26"/>
      <c r="E61" s="26"/>
      <c r="F61" s="26"/>
      <c r="G61" s="26">
        <v>11156</v>
      </c>
      <c r="H61" s="26">
        <v>97257</v>
      </c>
      <c r="I61" s="26"/>
      <c r="J61" s="26"/>
      <c r="K61" s="26">
        <v>35000</v>
      </c>
      <c r="L61" s="220">
        <v>202692</v>
      </c>
      <c r="M61" s="223">
        <f t="shared" si="30"/>
        <v>956999</v>
      </c>
    </row>
    <row r="62" spans="1:15" x14ac:dyDescent="0.25">
      <c r="B62" s="17" t="s">
        <v>182</v>
      </c>
      <c r="C62" s="26">
        <v>539738</v>
      </c>
      <c r="D62" s="26">
        <v>280381</v>
      </c>
      <c r="E62" s="26">
        <v>26106</v>
      </c>
      <c r="F62" s="26"/>
      <c r="G62" s="26"/>
      <c r="H62" s="26"/>
      <c r="I62" s="26"/>
      <c r="J62" s="26"/>
      <c r="K62" s="26">
        <v>140601</v>
      </c>
      <c r="L62" s="220">
        <v>171412</v>
      </c>
      <c r="M62" s="223">
        <f t="shared" si="30"/>
        <v>1158238</v>
      </c>
    </row>
    <row r="63" spans="1:15" x14ac:dyDescent="0.25">
      <c r="B63" s="37" t="s">
        <v>80</v>
      </c>
      <c r="C63" s="26">
        <v>470769</v>
      </c>
      <c r="D63" s="26">
        <v>88882</v>
      </c>
      <c r="E63" s="26">
        <v>12898</v>
      </c>
      <c r="F63" s="26">
        <v>130755</v>
      </c>
      <c r="G63" s="26">
        <v>16095</v>
      </c>
      <c r="H63" s="26">
        <v>115957</v>
      </c>
      <c r="I63" s="26"/>
      <c r="J63" s="26">
        <v>593335</v>
      </c>
      <c r="K63" s="26">
        <v>118807</v>
      </c>
      <c r="L63" s="220">
        <v>142819</v>
      </c>
      <c r="M63" s="223">
        <f>SUM(C63:L63)</f>
        <v>1690317</v>
      </c>
    </row>
    <row r="64" spans="1:15" ht="13.5" customHeight="1" x14ac:dyDescent="0.25">
      <c r="B64" s="17" t="s">
        <v>32</v>
      </c>
      <c r="C64" s="26">
        <v>187197</v>
      </c>
      <c r="D64" s="26"/>
      <c r="E64" s="26">
        <v>22919</v>
      </c>
      <c r="F64" s="26"/>
      <c r="G64" s="26">
        <v>7500</v>
      </c>
      <c r="H64" s="26"/>
      <c r="I64" s="26"/>
      <c r="J64" s="26"/>
      <c r="K64" s="26">
        <v>85796</v>
      </c>
      <c r="L64" s="220"/>
      <c r="M64" s="223">
        <f t="shared" si="30"/>
        <v>303412</v>
      </c>
    </row>
    <row r="65" spans="2:15" x14ac:dyDescent="0.25">
      <c r="B65" s="37" t="s">
        <v>179</v>
      </c>
      <c r="C65" s="26"/>
      <c r="D65" s="26"/>
      <c r="E65" s="26"/>
      <c r="F65" s="26"/>
      <c r="G65" s="26"/>
      <c r="H65" s="26"/>
      <c r="I65" s="26"/>
      <c r="J65" s="26"/>
      <c r="K65" s="26"/>
      <c r="L65" s="220"/>
      <c r="M65" s="223">
        <f t="shared" si="30"/>
        <v>0</v>
      </c>
    </row>
    <row r="66" spans="2:15" x14ac:dyDescent="0.25">
      <c r="B66" s="32" t="s">
        <v>33</v>
      </c>
      <c r="C66" s="55">
        <f>SUM(C60:C65)+C57</f>
        <v>2564993</v>
      </c>
      <c r="D66" s="55">
        <f t="shared" ref="D66:M66" si="31">SUM(D60:D65)+D57</f>
        <v>671708</v>
      </c>
      <c r="E66" s="55">
        <f t="shared" si="31"/>
        <v>284684</v>
      </c>
      <c r="F66" s="55">
        <f t="shared" si="31"/>
        <v>1093381</v>
      </c>
      <c r="G66" s="55">
        <f t="shared" si="31"/>
        <v>258222</v>
      </c>
      <c r="H66" s="55">
        <f t="shared" si="31"/>
        <v>1219409</v>
      </c>
      <c r="I66" s="55">
        <f t="shared" si="31"/>
        <v>0</v>
      </c>
      <c r="J66" s="55">
        <f t="shared" si="31"/>
        <v>3325774</v>
      </c>
      <c r="K66" s="55">
        <f t="shared" si="31"/>
        <v>429693</v>
      </c>
      <c r="L66" s="55">
        <f t="shared" si="31"/>
        <v>2928239</v>
      </c>
      <c r="M66" s="236">
        <f t="shared" si="31"/>
        <v>12776103</v>
      </c>
      <c r="N66" s="19">
        <f>SUM(C66:L66)</f>
        <v>12776103</v>
      </c>
      <c r="O66" s="19">
        <f>M66-N66</f>
        <v>0</v>
      </c>
    </row>
    <row r="67" spans="2:15" x14ac:dyDescent="0.25">
      <c r="B67" s="17"/>
      <c r="L67" s="93"/>
      <c r="M67" s="223">
        <f t="shared" ref="M67:M74" si="32">SUM(C67:L67)</f>
        <v>0</v>
      </c>
    </row>
    <row r="68" spans="2:15" x14ac:dyDescent="0.25">
      <c r="B68" s="17" t="s">
        <v>34</v>
      </c>
      <c r="C68" s="58">
        <v>2425</v>
      </c>
      <c r="D68" s="58">
        <v>35691</v>
      </c>
      <c r="E68" s="58">
        <v>123771</v>
      </c>
      <c r="F68" s="58">
        <v>40000</v>
      </c>
      <c r="G68" s="58">
        <v>4000</v>
      </c>
      <c r="H68" s="58">
        <v>15000</v>
      </c>
      <c r="I68" s="58"/>
      <c r="J68" s="58">
        <v>1038383</v>
      </c>
      <c r="K68" s="58">
        <v>49838</v>
      </c>
      <c r="L68" s="221">
        <v>191678</v>
      </c>
      <c r="M68" s="223">
        <f t="shared" si="32"/>
        <v>1500786</v>
      </c>
      <c r="N68" s="19"/>
      <c r="O68" s="19"/>
    </row>
    <row r="69" spans="2:15" x14ac:dyDescent="0.25">
      <c r="B69" s="17" t="s">
        <v>35</v>
      </c>
      <c r="C69" s="58"/>
      <c r="D69" s="58"/>
      <c r="E69" s="58"/>
      <c r="F69" s="58"/>
      <c r="G69" s="58"/>
      <c r="H69" s="58"/>
      <c r="I69" s="58"/>
      <c r="J69" s="58"/>
      <c r="K69" s="58"/>
      <c r="L69" s="221"/>
      <c r="M69" s="223">
        <f t="shared" si="32"/>
        <v>0</v>
      </c>
      <c r="N69" s="19"/>
      <c r="O69" s="19"/>
    </row>
    <row r="70" spans="2:15" x14ac:dyDescent="0.25">
      <c r="B70" s="17" t="s">
        <v>36</v>
      </c>
      <c r="C70" s="58"/>
      <c r="D70" s="59">
        <v>2824</v>
      </c>
      <c r="E70" s="59"/>
      <c r="F70" s="59">
        <v>22765</v>
      </c>
      <c r="G70" s="59">
        <v>10000</v>
      </c>
      <c r="H70" s="59">
        <v>546891</v>
      </c>
      <c r="I70" s="59"/>
      <c r="J70" s="59"/>
      <c r="K70" s="59">
        <v>110426</v>
      </c>
      <c r="L70" s="221">
        <v>1136601</v>
      </c>
      <c r="M70" s="223">
        <f t="shared" si="32"/>
        <v>1829507</v>
      </c>
      <c r="N70" s="19">
        <f>1764-61979</f>
        <v>-60215</v>
      </c>
      <c r="O70" s="19"/>
    </row>
    <row r="71" spans="2:15" x14ac:dyDescent="0.25">
      <c r="B71" s="17" t="s">
        <v>184</v>
      </c>
      <c r="C71" s="58"/>
      <c r="D71" s="59"/>
      <c r="E71" s="59"/>
      <c r="F71" s="59"/>
      <c r="G71" s="298">
        <v>63743</v>
      </c>
      <c r="H71" s="59"/>
      <c r="I71" s="59"/>
      <c r="J71" s="59"/>
      <c r="K71" s="59"/>
      <c r="L71" s="221"/>
      <c r="M71" s="223">
        <f t="shared" si="32"/>
        <v>63743</v>
      </c>
      <c r="N71" s="19"/>
      <c r="O71" s="19"/>
    </row>
    <row r="72" spans="2:15" x14ac:dyDescent="0.25">
      <c r="B72" s="17" t="s">
        <v>180</v>
      </c>
      <c r="C72" s="58">
        <f>-174443-320</f>
        <v>-174763</v>
      </c>
      <c r="D72" s="58">
        <v>55140</v>
      </c>
      <c r="E72" s="58"/>
      <c r="F72" s="58"/>
      <c r="G72" s="58">
        <v>888</v>
      </c>
      <c r="H72" s="58"/>
      <c r="I72" s="58"/>
      <c r="J72" s="58">
        <f>-551813+(524836-486570)</f>
        <v>-513547</v>
      </c>
      <c r="K72" s="58"/>
      <c r="L72" s="221">
        <f>1000+(1396517-1329279)</f>
        <v>68238</v>
      </c>
      <c r="M72" s="223">
        <f t="shared" si="32"/>
        <v>-564044</v>
      </c>
      <c r="N72" s="19"/>
      <c r="O72" s="19"/>
    </row>
    <row r="73" spans="2:15" x14ac:dyDescent="0.25">
      <c r="B73" s="17" t="s">
        <v>181</v>
      </c>
      <c r="C73" s="59"/>
      <c r="D73" s="59"/>
      <c r="E73" s="59"/>
      <c r="F73" s="59"/>
      <c r="G73" s="59"/>
      <c r="H73" s="59"/>
      <c r="I73" s="59"/>
      <c r="J73" s="59"/>
      <c r="K73" s="59"/>
      <c r="L73" s="221"/>
      <c r="M73" s="223">
        <f t="shared" si="32"/>
        <v>0</v>
      </c>
      <c r="N73" s="19"/>
      <c r="O73" s="19"/>
    </row>
    <row r="74" spans="2:15" x14ac:dyDescent="0.25">
      <c r="B74" s="17" t="s">
        <v>37</v>
      </c>
      <c r="C74" s="58">
        <v>2070239</v>
      </c>
      <c r="D74" s="58">
        <v>91557</v>
      </c>
      <c r="E74" s="58">
        <v>-61969</v>
      </c>
      <c r="F74" s="58">
        <v>171522</v>
      </c>
      <c r="G74" s="58">
        <v>-76867</v>
      </c>
      <c r="H74" s="58"/>
      <c r="I74" s="58"/>
      <c r="J74" s="58"/>
      <c r="K74" s="58">
        <v>-49962</v>
      </c>
      <c r="L74" s="221"/>
      <c r="M74" s="223">
        <f t="shared" si="32"/>
        <v>2144520</v>
      </c>
      <c r="N74" s="19"/>
      <c r="O74" s="19"/>
    </row>
    <row r="75" spans="2:15" ht="12.75" customHeight="1" x14ac:dyDescent="0.25">
      <c r="B75" s="23"/>
      <c r="C75" s="60"/>
      <c r="D75" s="19"/>
      <c r="E75" s="60"/>
      <c r="F75" s="60"/>
      <c r="G75" s="60"/>
      <c r="H75" s="60"/>
      <c r="I75" s="19"/>
      <c r="J75" s="19"/>
      <c r="K75" s="19"/>
      <c r="L75" s="93"/>
      <c r="M75" s="223">
        <f t="shared" ref="M75" si="33">C75+D75+E75+G75+H75+I75+K75+L75</f>
        <v>0</v>
      </c>
    </row>
    <row r="76" spans="2:15" x14ac:dyDescent="0.25">
      <c r="B76" s="40" t="s">
        <v>38</v>
      </c>
      <c r="C76" s="61">
        <f t="shared" ref="C76:M76" si="34">SUM(C68:C74)</f>
        <v>1897901</v>
      </c>
      <c r="D76" s="61">
        <f t="shared" si="34"/>
        <v>185212</v>
      </c>
      <c r="E76" s="61">
        <f t="shared" si="34"/>
        <v>61802</v>
      </c>
      <c r="F76" s="61">
        <f t="shared" si="34"/>
        <v>234287</v>
      </c>
      <c r="G76" s="61">
        <f t="shared" si="34"/>
        <v>1764</v>
      </c>
      <c r="H76" s="61">
        <f t="shared" si="34"/>
        <v>561891</v>
      </c>
      <c r="I76" s="61">
        <f t="shared" si="34"/>
        <v>0</v>
      </c>
      <c r="J76" s="61">
        <f t="shared" si="34"/>
        <v>524836</v>
      </c>
      <c r="K76" s="61">
        <f t="shared" si="34"/>
        <v>110302</v>
      </c>
      <c r="L76" s="222">
        <f t="shared" si="34"/>
        <v>1396517</v>
      </c>
      <c r="M76" s="125">
        <f t="shared" si="34"/>
        <v>4974512</v>
      </c>
      <c r="N76" s="19">
        <f>SUM(C76:L76)</f>
        <v>4974512</v>
      </c>
      <c r="O76" s="19">
        <f>M76-N76</f>
        <v>0</v>
      </c>
    </row>
    <row r="77" spans="2:15" x14ac:dyDescent="0.25">
      <c r="B77" s="17"/>
      <c r="D77" s="19"/>
      <c r="I77" s="19"/>
      <c r="J77" s="19"/>
      <c r="K77" s="19"/>
      <c r="L77" s="19"/>
      <c r="M77" s="121"/>
    </row>
    <row r="78" spans="2:15" ht="13.5" thickBot="1" x14ac:dyDescent="0.3">
      <c r="B78" s="32" t="s">
        <v>39</v>
      </c>
      <c r="C78" s="62">
        <f t="shared" ref="C78:M78" si="35">C66+C76</f>
        <v>4462894</v>
      </c>
      <c r="D78" s="63">
        <f t="shared" si="35"/>
        <v>856920</v>
      </c>
      <c r="E78" s="62">
        <f t="shared" si="35"/>
        <v>346486</v>
      </c>
      <c r="F78" s="62">
        <f t="shared" si="35"/>
        <v>1327668</v>
      </c>
      <c r="G78" s="63">
        <f t="shared" si="35"/>
        <v>259986</v>
      </c>
      <c r="H78" s="63">
        <f t="shared" si="35"/>
        <v>1781300</v>
      </c>
      <c r="I78" s="63">
        <f t="shared" si="35"/>
        <v>0</v>
      </c>
      <c r="J78" s="63">
        <f t="shared" si="35"/>
        <v>3850610</v>
      </c>
      <c r="K78" s="63">
        <f t="shared" si="35"/>
        <v>539995</v>
      </c>
      <c r="L78" s="219">
        <f t="shared" si="35"/>
        <v>4324756</v>
      </c>
      <c r="M78" s="237">
        <f t="shared" si="35"/>
        <v>17750615</v>
      </c>
      <c r="N78" s="19">
        <f>SUM(C78:L78)</f>
        <v>17750615</v>
      </c>
      <c r="O78" s="19">
        <f>M78-N78</f>
        <v>0</v>
      </c>
    </row>
    <row r="79" spans="2:15" ht="13.5" thickTop="1" x14ac:dyDescent="0.25">
      <c r="B79" s="17"/>
      <c r="C79" s="64">
        <f t="shared" ref="C79:M79" si="36">C54-C78</f>
        <v>0</v>
      </c>
      <c r="D79" s="64">
        <f t="shared" si="36"/>
        <v>0</v>
      </c>
      <c r="E79" s="64">
        <f t="shared" si="36"/>
        <v>0</v>
      </c>
      <c r="F79" s="64">
        <f t="shared" si="36"/>
        <v>0</v>
      </c>
      <c r="G79" s="64">
        <f t="shared" si="36"/>
        <v>0</v>
      </c>
      <c r="H79" s="64">
        <f t="shared" si="36"/>
        <v>0</v>
      </c>
      <c r="I79" s="64">
        <f t="shared" si="36"/>
        <v>0</v>
      </c>
      <c r="J79" s="64">
        <f t="shared" si="36"/>
        <v>0</v>
      </c>
      <c r="K79" s="64">
        <f t="shared" si="36"/>
        <v>0</v>
      </c>
      <c r="L79" s="64">
        <f t="shared" si="36"/>
        <v>0</v>
      </c>
      <c r="M79" s="225">
        <f t="shared" si="36"/>
        <v>0</v>
      </c>
    </row>
    <row r="80" spans="2:15" x14ac:dyDescent="0.25">
      <c r="B80" s="17" t="s">
        <v>40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/>
      <c r="K80" s="58">
        <v>0</v>
      </c>
      <c r="L80" s="58">
        <v>0</v>
      </c>
      <c r="M80" s="223">
        <f>SUM(C80:L80)</f>
        <v>0</v>
      </c>
      <c r="N80" s="3">
        <f>61979-1764</f>
        <v>60215</v>
      </c>
    </row>
    <row r="81" spans="2:13" x14ac:dyDescent="0.25">
      <c r="B81" s="17" t="s">
        <v>41</v>
      </c>
      <c r="C81" s="54"/>
      <c r="D81" s="54"/>
      <c r="E81" s="54"/>
      <c r="F81" s="54"/>
      <c r="G81" s="54"/>
      <c r="H81" s="54"/>
      <c r="I81" s="54"/>
      <c r="J81" s="54">
        <v>24174</v>
      </c>
      <c r="K81" s="54"/>
      <c r="L81" s="54"/>
      <c r="M81" s="223">
        <f>SUM(C81:L81)</f>
        <v>24174</v>
      </c>
    </row>
    <row r="82" spans="2:13" ht="13.5" thickBot="1" x14ac:dyDescent="0.3">
      <c r="B82" s="40" t="s">
        <v>42</v>
      </c>
      <c r="C82" s="250">
        <f t="shared" ref="C82:M82" si="37">SUM(C80:C81)</f>
        <v>0</v>
      </c>
      <c r="D82" s="250">
        <f t="shared" si="37"/>
        <v>0</v>
      </c>
      <c r="E82" s="251">
        <f t="shared" si="37"/>
        <v>0</v>
      </c>
      <c r="F82" s="251"/>
      <c r="G82" s="251">
        <f t="shared" si="37"/>
        <v>0</v>
      </c>
      <c r="H82" s="251">
        <f t="shared" si="37"/>
        <v>0</v>
      </c>
      <c r="I82" s="251">
        <f t="shared" si="37"/>
        <v>0</v>
      </c>
      <c r="J82" s="251">
        <f t="shared" si="37"/>
        <v>24174</v>
      </c>
      <c r="K82" s="251">
        <f t="shared" si="37"/>
        <v>0</v>
      </c>
      <c r="L82" s="251">
        <f t="shared" si="37"/>
        <v>0</v>
      </c>
      <c r="M82" s="223">
        <f t="shared" si="37"/>
        <v>24174</v>
      </c>
    </row>
    <row r="83" spans="2:13" ht="13.5" hidden="1" thickTop="1" x14ac:dyDescent="0.25">
      <c r="B83" s="40" t="s">
        <v>43</v>
      </c>
      <c r="C83" s="44"/>
      <c r="D83" s="52"/>
      <c r="E83" s="44"/>
      <c r="F83" s="44"/>
      <c r="G83" s="44"/>
      <c r="H83" s="252"/>
      <c r="I83" s="52"/>
      <c r="J83" s="52"/>
      <c r="K83" s="52"/>
      <c r="L83" s="52"/>
      <c r="M83" s="223" t="e">
        <f>C83+D83+E83+G83+H83+I83+#REF!+K83+L83+#REF!+#REF!+#REF!+#REF!+#REF!+#REF!+#REF!+#REF!</f>
        <v>#REF!</v>
      </c>
    </row>
    <row r="84" spans="2:13" ht="13.5" hidden="1" thickTop="1" x14ac:dyDescent="0.25">
      <c r="B84" s="40" t="s">
        <v>44</v>
      </c>
      <c r="C84" s="44"/>
      <c r="D84" s="52"/>
      <c r="E84" s="44"/>
      <c r="F84" s="44"/>
      <c r="G84" s="44"/>
      <c r="H84" s="44"/>
      <c r="I84" s="52"/>
      <c r="J84" s="52"/>
      <c r="K84" s="52"/>
      <c r="L84" s="52"/>
      <c r="M84" s="223" t="e">
        <f>C84+D84+E84+G84+H84+I84+#REF!+K84+L84+#REF!+#REF!+#REF!+#REF!+#REF!+#REF!+#REF!+#REF!</f>
        <v>#REF!</v>
      </c>
    </row>
    <row r="85" spans="2:13" ht="13.5" hidden="1" thickTop="1" x14ac:dyDescent="0.25">
      <c r="B85" s="40" t="s">
        <v>45</v>
      </c>
      <c r="C85" s="52">
        <f t="shared" ref="C85:M85" si="38">SUM(C86:C87)</f>
        <v>0</v>
      </c>
      <c r="D85" s="52">
        <f t="shared" si="38"/>
        <v>0</v>
      </c>
      <c r="E85" s="52">
        <f t="shared" si="38"/>
        <v>0</v>
      </c>
      <c r="F85" s="52"/>
      <c r="G85" s="52">
        <f t="shared" si="38"/>
        <v>0</v>
      </c>
      <c r="H85" s="52">
        <f t="shared" si="38"/>
        <v>0</v>
      </c>
      <c r="I85" s="52">
        <f t="shared" si="38"/>
        <v>0</v>
      </c>
      <c r="J85" s="52"/>
      <c r="K85" s="52">
        <f t="shared" si="38"/>
        <v>0</v>
      </c>
      <c r="L85" s="52">
        <f t="shared" si="38"/>
        <v>0</v>
      </c>
      <c r="M85" s="223" t="e">
        <f t="shared" si="38"/>
        <v>#REF!</v>
      </c>
    </row>
    <row r="86" spans="2:13" ht="13.5" hidden="1" thickTop="1" x14ac:dyDescent="0.25">
      <c r="B86" s="68" t="s">
        <v>46</v>
      </c>
      <c r="C86" s="253"/>
      <c r="D86" s="253"/>
      <c r="E86" s="253"/>
      <c r="F86" s="253"/>
      <c r="G86" s="253"/>
      <c r="H86" s="253"/>
      <c r="I86" s="253"/>
      <c r="J86" s="253"/>
      <c r="K86" s="253"/>
      <c r="L86" s="254"/>
      <c r="M86" s="223" t="e">
        <f>C86+D86+E86+G86+H86+I86+#REF!+K86+L86+#REF!+#REF!+#REF!+#REF!+#REF!+#REF!+#REF!+#REF!</f>
        <v>#REF!</v>
      </c>
    </row>
    <row r="87" spans="2:13" ht="13.5" hidden="1" thickTop="1" x14ac:dyDescent="0.25">
      <c r="B87" s="68" t="s">
        <v>47</v>
      </c>
      <c r="C87" s="255"/>
      <c r="D87" s="255"/>
      <c r="E87" s="255"/>
      <c r="F87" s="255"/>
      <c r="G87" s="255"/>
      <c r="H87" s="255"/>
      <c r="I87" s="255"/>
      <c r="J87" s="255"/>
      <c r="K87" s="255"/>
      <c r="L87" s="256"/>
      <c r="M87" s="223" t="e">
        <f>C87+D87+E87+G87+H87+I87+#REF!+K87+L87+#REF!+#REF!+#REF!+#REF!+#REF!+#REF!+#REF!+#REF!</f>
        <v>#REF!</v>
      </c>
    </row>
    <row r="88" spans="2:13" ht="13.5" hidden="1" thickTop="1" x14ac:dyDescent="0.25">
      <c r="B88" s="68" t="s">
        <v>48</v>
      </c>
      <c r="C88" s="44"/>
      <c r="D88" s="52"/>
      <c r="E88" s="44"/>
      <c r="F88" s="44"/>
      <c r="G88" s="44">
        <v>0</v>
      </c>
      <c r="H88" s="44"/>
      <c r="I88" s="52"/>
      <c r="J88" s="52"/>
      <c r="K88" s="52"/>
      <c r="L88" s="52"/>
      <c r="M88" s="223"/>
    </row>
    <row r="89" spans="2:13" ht="13.5" hidden="1" thickTop="1" x14ac:dyDescent="0.25">
      <c r="B89" s="71" t="s">
        <v>49</v>
      </c>
      <c r="C89" s="44"/>
      <c r="D89" s="52"/>
      <c r="E89" s="44"/>
      <c r="F89" s="44"/>
      <c r="G89" s="44"/>
      <c r="H89" s="44"/>
      <c r="I89" s="52"/>
      <c r="J89" s="52"/>
      <c r="K89" s="52"/>
      <c r="L89" s="52"/>
      <c r="M89" s="223"/>
    </row>
    <row r="90" spans="2:13" ht="13.5" hidden="1" thickTop="1" x14ac:dyDescent="0.25">
      <c r="B90" s="3" t="s">
        <v>50</v>
      </c>
      <c r="C90" s="56"/>
      <c r="D90" s="52"/>
      <c r="E90" s="56"/>
      <c r="F90" s="56"/>
      <c r="G90" s="56"/>
      <c r="H90" s="56"/>
      <c r="I90" s="52"/>
      <c r="J90" s="52"/>
      <c r="K90" s="52"/>
      <c r="L90" s="52"/>
      <c r="M90" s="223"/>
    </row>
    <row r="91" spans="2:13" ht="13.5" hidden="1" thickTop="1" x14ac:dyDescent="0.25">
      <c r="B91" s="72" t="s">
        <v>51</v>
      </c>
      <c r="C91" s="257"/>
      <c r="D91" s="257"/>
      <c r="E91" s="257"/>
      <c r="F91" s="257"/>
      <c r="G91" s="257"/>
      <c r="H91" s="257"/>
      <c r="I91" s="258"/>
      <c r="J91" s="258"/>
      <c r="K91" s="259"/>
      <c r="L91" s="257"/>
      <c r="M91" s="121" t="e">
        <f>C91+D91+E91+G91+H91+I91+#REF!+K91+L91+#REF!+#REF!+#REF!+#REF!+#REF!+#REF!+#REF!+#REF!</f>
        <v>#REF!</v>
      </c>
    </row>
    <row r="92" spans="2:13" ht="13.5" hidden="1" thickTop="1" x14ac:dyDescent="0.25">
      <c r="C92" s="56"/>
      <c r="D92" s="56"/>
      <c r="E92" s="56"/>
      <c r="F92" s="56"/>
      <c r="G92" s="56"/>
      <c r="H92" s="56"/>
      <c r="I92" s="56"/>
      <c r="J92" s="56"/>
      <c r="K92" s="56"/>
      <c r="L92" s="56"/>
    </row>
    <row r="93" spans="2:13" ht="13.5" thickTop="1" x14ac:dyDescent="0.25">
      <c r="B93" s="56"/>
      <c r="C93" s="293"/>
      <c r="D93" s="293"/>
      <c r="E93" s="293"/>
      <c r="F93" s="293"/>
      <c r="G93" s="293"/>
      <c r="H93" s="294"/>
      <c r="I93" s="45"/>
      <c r="J93" s="295"/>
      <c r="K93" s="295"/>
      <c r="L93" s="295"/>
      <c r="M93" s="238"/>
    </row>
    <row r="94" spans="2:13" x14ac:dyDescent="0.25">
      <c r="B94" s="10" t="s">
        <v>52</v>
      </c>
      <c r="C94" s="10"/>
      <c r="D94" s="77"/>
      <c r="E94" s="10"/>
      <c r="F94" s="10"/>
      <c r="G94" s="10"/>
      <c r="H94" s="10"/>
      <c r="I94" s="77"/>
      <c r="J94" s="77"/>
      <c r="K94" s="77"/>
      <c r="L94" s="77"/>
      <c r="M94" s="142"/>
    </row>
    <row r="95" spans="2:13" x14ac:dyDescent="0.25">
      <c r="B95" s="56" t="s">
        <v>53</v>
      </c>
      <c r="C95" s="78">
        <v>5400219</v>
      </c>
      <c r="D95" s="78">
        <v>434113</v>
      </c>
      <c r="E95" s="78">
        <v>369259</v>
      </c>
      <c r="F95" s="78"/>
      <c r="G95" s="78">
        <v>248035</v>
      </c>
      <c r="H95" s="78">
        <v>1803729</v>
      </c>
      <c r="I95" s="78"/>
      <c r="J95" s="78">
        <v>2433300</v>
      </c>
      <c r="K95" s="78">
        <v>597212</v>
      </c>
      <c r="L95" s="227">
        <v>3046276</v>
      </c>
      <c r="M95" s="223">
        <f>SUM(C95:L95)</f>
        <v>14332143</v>
      </c>
    </row>
    <row r="96" spans="2:13" x14ac:dyDescent="0.25">
      <c r="B96" s="52"/>
      <c r="C96" s="293"/>
      <c r="D96" s="293"/>
      <c r="E96" s="293"/>
      <c r="F96" s="293"/>
      <c r="G96" s="293"/>
      <c r="H96" s="293"/>
      <c r="I96" s="45"/>
      <c r="J96" s="293"/>
      <c r="K96" s="295"/>
      <c r="L96" s="295"/>
      <c r="M96" s="239"/>
    </row>
    <row r="97" spans="2:13" ht="13.5" thickBot="1" x14ac:dyDescent="0.3">
      <c r="B97" s="82" t="s">
        <v>54</v>
      </c>
      <c r="C97" s="83"/>
      <c r="D97" s="84"/>
      <c r="E97" s="83"/>
      <c r="F97" s="83"/>
      <c r="G97" s="83"/>
      <c r="H97" s="83"/>
      <c r="I97" s="84"/>
      <c r="J97" s="84"/>
      <c r="K97" s="84"/>
      <c r="L97" s="84"/>
      <c r="M97" s="249"/>
    </row>
    <row r="98" spans="2:13" x14ac:dyDescent="0.25">
      <c r="B98" s="85" t="s">
        <v>55</v>
      </c>
      <c r="C98" s="86">
        <v>1826732</v>
      </c>
      <c r="D98" s="86">
        <v>183903</v>
      </c>
      <c r="E98" s="86">
        <v>48873</v>
      </c>
      <c r="F98" s="86"/>
      <c r="G98" s="86">
        <v>61989</v>
      </c>
      <c r="H98" s="86">
        <v>542145</v>
      </c>
      <c r="I98" s="86"/>
      <c r="J98" s="86">
        <v>473250</v>
      </c>
      <c r="K98" s="86">
        <v>102909</v>
      </c>
      <c r="L98" s="86">
        <v>1312646</v>
      </c>
      <c r="M98" s="223">
        <f>SUM(C98:L98)</f>
        <v>4552447</v>
      </c>
    </row>
    <row r="99" spans="2:13" ht="13.5" thickBot="1" x14ac:dyDescent="0.3">
      <c r="B99" s="87" t="s">
        <v>56</v>
      </c>
      <c r="C99" s="88"/>
      <c r="D99" s="88"/>
      <c r="E99" s="88"/>
      <c r="F99" s="88"/>
      <c r="G99" s="88"/>
      <c r="H99" s="88"/>
      <c r="I99" s="88"/>
      <c r="J99" s="88">
        <v>6057</v>
      </c>
      <c r="K99" s="88"/>
      <c r="L99" s="88">
        <v>26895</v>
      </c>
      <c r="M99" s="223">
        <f>SUM(C99:L99)</f>
        <v>32952</v>
      </c>
    </row>
    <row r="100" spans="2:13" ht="13.5" thickBot="1" x14ac:dyDescent="0.3">
      <c r="B100" s="89" t="s">
        <v>57</v>
      </c>
      <c r="C100" s="90">
        <f>SUM(C98:C99)</f>
        <v>1826732</v>
      </c>
      <c r="D100" s="90">
        <f t="shared" ref="D100:L100" si="39">SUM(D98:D99)</f>
        <v>183903</v>
      </c>
      <c r="E100" s="90">
        <f t="shared" si="39"/>
        <v>48873</v>
      </c>
      <c r="F100" s="90">
        <f t="shared" si="39"/>
        <v>0</v>
      </c>
      <c r="G100" s="90">
        <f t="shared" si="39"/>
        <v>61989</v>
      </c>
      <c r="H100" s="90">
        <f t="shared" si="39"/>
        <v>542145</v>
      </c>
      <c r="I100" s="90">
        <f t="shared" si="39"/>
        <v>0</v>
      </c>
      <c r="J100" s="90">
        <f t="shared" si="39"/>
        <v>479307</v>
      </c>
      <c r="K100" s="90">
        <f t="shared" si="39"/>
        <v>102909</v>
      </c>
      <c r="L100" s="90">
        <f t="shared" si="39"/>
        <v>1339541</v>
      </c>
      <c r="M100" s="134">
        <f>SUM(M98:M99)</f>
        <v>4585399</v>
      </c>
    </row>
    <row r="101" spans="2:13" ht="14.45" hidden="1" customHeight="1" x14ac:dyDescent="0.25"/>
    <row r="102" spans="2:13" ht="14.45" hidden="1" customHeight="1" x14ac:dyDescent="0.25"/>
    <row r="103" spans="2:13" ht="13.9" hidden="1" customHeight="1" x14ac:dyDescent="0.25">
      <c r="B103" s="91" t="s">
        <v>58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240"/>
    </row>
    <row r="104" spans="2:13" ht="13.9" hidden="1" customHeight="1" x14ac:dyDescent="0.25">
      <c r="B104" s="93" t="s">
        <v>59</v>
      </c>
      <c r="C104" s="20" t="e">
        <f>IF(#REF!&gt;#REF!,#REF!-#REF!,0)</f>
        <v>#REF!</v>
      </c>
      <c r="D104" s="20" t="e">
        <f>IF(#REF!&gt;#REF!,#REF!-#REF!,0)</f>
        <v>#REF!</v>
      </c>
      <c r="E104" s="20" t="e">
        <f>IF(#REF!&gt;#REF!,#REF!-#REF!,0)</f>
        <v>#REF!</v>
      </c>
      <c r="F104" s="20"/>
      <c r="G104" s="20" t="e">
        <f>IF(#REF!&gt;#REF!,#REF!-#REF!,0)</f>
        <v>#REF!</v>
      </c>
      <c r="H104" s="20" t="e">
        <f>IF(#REF!&gt;#REF!,#REF!-#REF!,0)</f>
        <v>#REF!</v>
      </c>
      <c r="I104" s="20" t="e">
        <f>IF(#REF!&gt;#REF!,#REF!-#REF!,0)</f>
        <v>#REF!</v>
      </c>
      <c r="J104" s="20" t="e">
        <f>IF(#REF!&gt;#REF!,#REF!-#REF!,0)</f>
        <v>#REF!</v>
      </c>
      <c r="K104" s="20" t="e">
        <f>IF(#REF!&gt;#REF!,#REF!-#REF!,0)</f>
        <v>#REF!</v>
      </c>
      <c r="L104" s="20" t="e">
        <f>IF(#REF!&gt;#REF!,#REF!-#REF!,0)</f>
        <v>#REF!</v>
      </c>
      <c r="M104" s="223" t="e">
        <f>IF(#REF!&gt;#REF!,#REF!-#REF!,0)</f>
        <v>#REF!</v>
      </c>
    </row>
    <row r="105" spans="2:13" ht="13.9" hidden="1" customHeight="1" x14ac:dyDescent="0.25">
      <c r="B105" s="93" t="s">
        <v>60</v>
      </c>
      <c r="C105" s="94" t="e">
        <f>'[1]Scenarios and assumptions'!#REF!</f>
        <v>#REF!</v>
      </c>
      <c r="D105" s="94" t="e">
        <f>'[1]Scenarios and assumptions'!#REF!</f>
        <v>#REF!</v>
      </c>
      <c r="E105" s="94" t="e">
        <f>'[1]Scenarios and assumptions'!#REF!</f>
        <v>#REF!</v>
      </c>
      <c r="F105" s="94"/>
      <c r="G105" s="94" t="e">
        <f>'[1]Scenarios and assumptions'!#REF!</f>
        <v>#REF!</v>
      </c>
      <c r="H105" s="94" t="e">
        <f>'[1]Scenarios and assumptions'!#REF!</f>
        <v>#REF!</v>
      </c>
      <c r="I105" s="94" t="str">
        <f>'[1]Scenarios and assumptions'!B36</f>
        <v>Target dividend payout ratio</v>
      </c>
      <c r="J105" s="94">
        <f>'[1]Scenarios and assumptions'!C36</f>
        <v>0.34999990463256836</v>
      </c>
      <c r="K105" s="94">
        <f>'[1]Scenarios and assumptions'!H36</f>
        <v>0</v>
      </c>
      <c r="L105" s="94">
        <f>'[1]Scenarios and assumptions'!K36</f>
        <v>0</v>
      </c>
      <c r="M105" s="235">
        <f>'[1]Scenarios and assumptions'!AI36</f>
        <v>0</v>
      </c>
    </row>
    <row r="106" spans="2:13" ht="13.9" hidden="1" customHeight="1" x14ac:dyDescent="0.25">
      <c r="B106" s="93" t="s">
        <v>61</v>
      </c>
      <c r="C106" s="95" t="e">
        <f t="shared" ref="C106:L106" si="40">C104*C105</f>
        <v>#REF!</v>
      </c>
      <c r="D106" s="95" t="e">
        <f t="shared" si="40"/>
        <v>#REF!</v>
      </c>
      <c r="E106" s="95" t="e">
        <f t="shared" si="40"/>
        <v>#REF!</v>
      </c>
      <c r="F106" s="95"/>
      <c r="G106" s="95" t="e">
        <f t="shared" si="40"/>
        <v>#REF!</v>
      </c>
      <c r="H106" s="95" t="e">
        <f t="shared" si="40"/>
        <v>#REF!</v>
      </c>
      <c r="I106" s="95" t="e">
        <f t="shared" si="40"/>
        <v>#REF!</v>
      </c>
      <c r="J106" s="95" t="e">
        <f t="shared" ref="J106" si="41">J104*J105</f>
        <v>#REF!</v>
      </c>
      <c r="K106" s="95" t="e">
        <f t="shared" si="40"/>
        <v>#REF!</v>
      </c>
      <c r="L106" s="95" t="e">
        <f t="shared" si="40"/>
        <v>#REF!</v>
      </c>
      <c r="M106" s="125" t="e">
        <f t="shared" ref="M106" si="42">M104*M105</f>
        <v>#REF!</v>
      </c>
    </row>
    <row r="107" spans="2:13" ht="13.9" hidden="1" customHeight="1" x14ac:dyDescent="0.25"/>
    <row r="108" spans="2:13" ht="13.9" hidden="1" customHeight="1" x14ac:dyDescent="0.25">
      <c r="C108" s="46" t="e">
        <f>(#REF!+#REF!)/#REF!</f>
        <v>#REF!</v>
      </c>
      <c r="D108" s="46" t="e">
        <f>(#REF!+#REF!)/#REF!</f>
        <v>#REF!</v>
      </c>
      <c r="E108" s="46" t="e">
        <f>(#REF!+#REF!)/#REF!</f>
        <v>#REF!</v>
      </c>
      <c r="F108" s="46"/>
      <c r="G108" s="46" t="e">
        <f>(#REF!+#REF!)/#REF!</f>
        <v>#REF!</v>
      </c>
      <c r="H108" s="46" t="e">
        <f>(#REF!+#REF!)/#REF!</f>
        <v>#REF!</v>
      </c>
      <c r="I108" s="46" t="e">
        <f>(#REF!+#REF!)/#REF!</f>
        <v>#REF!</v>
      </c>
      <c r="J108" s="46" t="e">
        <f>(#REF!+#REF!)/#REF!</f>
        <v>#REF!</v>
      </c>
      <c r="K108" s="46" t="e">
        <f>(#REF!+#REF!)/#REF!</f>
        <v>#REF!</v>
      </c>
      <c r="L108" s="46" t="e">
        <f>(#REF!+#REF!)/#REF!</f>
        <v>#REF!</v>
      </c>
      <c r="M108" s="235" t="e">
        <f>(#REF!+#REF!)/#REF!</f>
        <v>#REF!</v>
      </c>
    </row>
    <row r="109" spans="2:13" ht="14.45" hidden="1" customHeight="1" x14ac:dyDescent="0.25"/>
    <row r="110" spans="2:13" ht="14.45" hidden="1" customHeight="1" x14ac:dyDescent="0.25">
      <c r="B110" s="96" t="s">
        <v>62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120"/>
    </row>
    <row r="111" spans="2:13" ht="14.45" hidden="1" customHeight="1" x14ac:dyDescent="0.25">
      <c r="B111" s="98" t="s">
        <v>55</v>
      </c>
      <c r="C111" s="99" t="e">
        <f>C98/#REF!</f>
        <v>#REF!</v>
      </c>
      <c r="D111" s="99" t="e">
        <f>D98/#REF!</f>
        <v>#REF!</v>
      </c>
      <c r="E111" s="99" t="e">
        <f>E98/#REF!</f>
        <v>#REF!</v>
      </c>
      <c r="F111" s="99"/>
      <c r="G111" s="99" t="e">
        <f>G98/#REF!</f>
        <v>#REF!</v>
      </c>
      <c r="H111" s="99" t="e">
        <f>H98/#REF!</f>
        <v>#REF!</v>
      </c>
      <c r="I111" s="99" t="e">
        <f>I98/#REF!</f>
        <v>#REF!</v>
      </c>
      <c r="J111" s="99" t="e">
        <f>J98/#REF!</f>
        <v>#REF!</v>
      </c>
      <c r="K111" s="99" t="e">
        <f>K98/#REF!</f>
        <v>#REF!</v>
      </c>
      <c r="L111" s="99" t="e">
        <f>L98/#REF!</f>
        <v>#REF!</v>
      </c>
      <c r="M111" s="241" t="e">
        <f>M98/#REF!</f>
        <v>#REF!</v>
      </c>
    </row>
    <row r="112" spans="2:13" ht="14.45" hidden="1" customHeight="1" x14ac:dyDescent="0.25">
      <c r="B112" s="100" t="s">
        <v>56</v>
      </c>
      <c r="C112" s="101" t="e">
        <f>C99/#REF!</f>
        <v>#REF!</v>
      </c>
      <c r="D112" s="101" t="e">
        <f>D99/#REF!</f>
        <v>#REF!</v>
      </c>
      <c r="E112" s="101" t="e">
        <f>E99/#REF!</f>
        <v>#REF!</v>
      </c>
      <c r="F112" s="101"/>
      <c r="G112" s="101" t="e">
        <f>G99/#REF!</f>
        <v>#REF!</v>
      </c>
      <c r="H112" s="101" t="e">
        <f>H99/#REF!</f>
        <v>#REF!</v>
      </c>
      <c r="I112" s="101" t="e">
        <f>I99/#REF!</f>
        <v>#REF!</v>
      </c>
      <c r="J112" s="101" t="e">
        <f>J99/#REF!</f>
        <v>#REF!</v>
      </c>
      <c r="K112" s="101" t="e">
        <f>K99/#REF!</f>
        <v>#REF!</v>
      </c>
      <c r="L112" s="101" t="e">
        <f>L99/#REF!</f>
        <v>#REF!</v>
      </c>
      <c r="M112" s="241" t="e">
        <f>M99/#REF!</f>
        <v>#REF!</v>
      </c>
    </row>
    <row r="113" spans="2:13" ht="14.45" hidden="1" customHeight="1" x14ac:dyDescent="0.25">
      <c r="B113" s="102" t="s">
        <v>57</v>
      </c>
      <c r="C113" s="103" t="e">
        <f>C100/#REF!</f>
        <v>#REF!</v>
      </c>
      <c r="D113" s="103" t="e">
        <f>D100/#REF!</f>
        <v>#REF!</v>
      </c>
      <c r="E113" s="103" t="e">
        <f>E100/#REF!</f>
        <v>#REF!</v>
      </c>
      <c r="F113" s="103"/>
      <c r="G113" s="103" t="e">
        <f>G100/#REF!</f>
        <v>#REF!</v>
      </c>
      <c r="H113" s="103" t="e">
        <f>H100/#REF!</f>
        <v>#REF!</v>
      </c>
      <c r="I113" s="103" t="e">
        <f>I100/#REF!</f>
        <v>#REF!</v>
      </c>
      <c r="J113" s="103" t="e">
        <f>J100/#REF!</f>
        <v>#REF!</v>
      </c>
      <c r="K113" s="103" t="e">
        <f>K100/#REF!</f>
        <v>#REF!</v>
      </c>
      <c r="L113" s="103" t="e">
        <f>L100/#REF!</f>
        <v>#REF!</v>
      </c>
      <c r="M113" s="242" t="e">
        <f>M100/#REF!</f>
        <v>#REF!</v>
      </c>
    </row>
    <row r="114" spans="2:13" ht="14.45" hidden="1" customHeight="1" x14ac:dyDescent="0.25"/>
    <row r="115" spans="2:13" ht="14.45" hidden="1" customHeight="1" x14ac:dyDescent="0.25"/>
    <row r="116" spans="2:13" ht="14.45" hidden="1" customHeight="1" x14ac:dyDescent="0.25">
      <c r="B116" s="96" t="s">
        <v>63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120"/>
    </row>
    <row r="117" spans="2:13" ht="14.45" hidden="1" customHeight="1" x14ac:dyDescent="0.25">
      <c r="B117" s="104" t="s">
        <v>55</v>
      </c>
      <c r="C117" s="105" t="e">
        <f>+SUM(C68:C68,C73)/#REF!</f>
        <v>#REF!</v>
      </c>
      <c r="D117" s="105" t="e">
        <f>+SUM(D68:D68,D73)/#REF!</f>
        <v>#REF!</v>
      </c>
      <c r="E117" s="105" t="e">
        <f>+SUM(E68:E68,E73)/#REF!</f>
        <v>#REF!</v>
      </c>
      <c r="F117" s="105"/>
      <c r="G117" s="105" t="e">
        <f>+SUM(G68:G68,G73)/#REF!</f>
        <v>#REF!</v>
      </c>
      <c r="H117" s="105" t="e">
        <f>+SUM(H68:H68,H73)/#REF!</f>
        <v>#REF!</v>
      </c>
      <c r="I117" s="105" t="e">
        <f>+SUM(I68:I68,I73)/#REF!</f>
        <v>#REF!</v>
      </c>
      <c r="J117" s="105" t="e">
        <f>+SUM(J68:J68,J73)/#REF!</f>
        <v>#REF!</v>
      </c>
      <c r="K117" s="105" t="e">
        <f>+SUM(K68:K68,K73)/#REF!</f>
        <v>#REF!</v>
      </c>
      <c r="L117" s="105" t="e">
        <f>+SUM(L68:L68,L73)/#REF!</f>
        <v>#REF!</v>
      </c>
      <c r="M117" s="241" t="e">
        <f>+SUM(M68:M68,M73)/#REF!</f>
        <v>#REF!</v>
      </c>
    </row>
    <row r="118" spans="2:13" ht="14.45" hidden="1" customHeight="1" x14ac:dyDescent="0.25">
      <c r="B118" s="106" t="s">
        <v>56</v>
      </c>
      <c r="C118" s="107" t="e">
        <f>SUM(C63,#REF!)/#REF!</f>
        <v>#REF!</v>
      </c>
      <c r="D118" s="107" t="e">
        <f>SUM(D63,#REF!)/#REF!</f>
        <v>#REF!</v>
      </c>
      <c r="E118" s="107" t="e">
        <f>SUM(E63,#REF!)/#REF!</f>
        <v>#REF!</v>
      </c>
      <c r="F118" s="107"/>
      <c r="G118" s="107" t="e">
        <f>SUM(G63,#REF!)/#REF!</f>
        <v>#REF!</v>
      </c>
      <c r="H118" s="107" t="e">
        <f>SUM(H63,#REF!)/#REF!</f>
        <v>#REF!</v>
      </c>
      <c r="I118" s="107" t="e">
        <f>SUM(I63,#REF!)/#REF!</f>
        <v>#REF!</v>
      </c>
      <c r="J118" s="107" t="e">
        <f>SUM(J63,#REF!)/#REF!</f>
        <v>#REF!</v>
      </c>
      <c r="K118" s="107" t="e">
        <f>SUM(K63,#REF!)/#REF!</f>
        <v>#REF!</v>
      </c>
      <c r="L118" s="107" t="e">
        <f>SUM(L63,#REF!)/#REF!</f>
        <v>#REF!</v>
      </c>
      <c r="M118" s="241" t="e">
        <f>SUM(M63,#REF!)/#REF!</f>
        <v>#REF!</v>
      </c>
    </row>
    <row r="119" spans="2:13" ht="14.45" hidden="1" customHeight="1" x14ac:dyDescent="0.25">
      <c r="B119" s="108" t="s">
        <v>57</v>
      </c>
      <c r="C119" s="109" t="e">
        <f t="shared" ref="C119:M119" si="43">+C117+C118</f>
        <v>#REF!</v>
      </c>
      <c r="D119" s="109" t="e">
        <f t="shared" si="43"/>
        <v>#REF!</v>
      </c>
      <c r="E119" s="109" t="e">
        <f t="shared" si="43"/>
        <v>#REF!</v>
      </c>
      <c r="F119" s="109"/>
      <c r="G119" s="109" t="e">
        <f t="shared" si="43"/>
        <v>#REF!</v>
      </c>
      <c r="H119" s="109" t="e">
        <f t="shared" si="43"/>
        <v>#REF!</v>
      </c>
      <c r="I119" s="109" t="e">
        <f t="shared" si="43"/>
        <v>#REF!</v>
      </c>
      <c r="J119" s="109" t="e">
        <f t="shared" ref="J119" si="44">+J117+J118</f>
        <v>#REF!</v>
      </c>
      <c r="K119" s="109" t="e">
        <f t="shared" si="43"/>
        <v>#REF!</v>
      </c>
      <c r="L119" s="109" t="e">
        <f t="shared" si="43"/>
        <v>#REF!</v>
      </c>
      <c r="M119" s="242" t="e">
        <f t="shared" si="43"/>
        <v>#REF!</v>
      </c>
    </row>
    <row r="120" spans="2:13" ht="13.5" thickBot="1" x14ac:dyDescent="0.3">
      <c r="B120" s="110" t="s">
        <v>64</v>
      </c>
      <c r="C120" s="111">
        <f t="shared" ref="C120:M120" si="45">C100/C95</f>
        <v>0.33826998497653521</v>
      </c>
      <c r="D120" s="111">
        <f t="shared" si="45"/>
        <v>0.42362933153349475</v>
      </c>
      <c r="E120" s="111">
        <f t="shared" si="45"/>
        <v>0.13235425541422147</v>
      </c>
      <c r="F120" s="111" t="e">
        <f t="shared" si="45"/>
        <v>#DIV/0!</v>
      </c>
      <c r="G120" s="111">
        <f t="shared" si="45"/>
        <v>0.24992037414074628</v>
      </c>
      <c r="H120" s="111">
        <f t="shared" si="45"/>
        <v>0.30056898791337278</v>
      </c>
      <c r="I120" s="111" t="e">
        <f t="shared" si="45"/>
        <v>#DIV/0!</v>
      </c>
      <c r="J120" s="111">
        <f t="shared" ref="J120" si="46">J100/J95</f>
        <v>0.1969781777832573</v>
      </c>
      <c r="K120" s="111">
        <f t="shared" si="45"/>
        <v>0.1723156935895461</v>
      </c>
      <c r="L120" s="228">
        <f t="shared" si="45"/>
        <v>0.43973067443659075</v>
      </c>
      <c r="M120" s="243">
        <f t="shared" si="45"/>
        <v>0.31993812788499248</v>
      </c>
    </row>
    <row r="121" spans="2:13" ht="13.5" thickBot="1" x14ac:dyDescent="0.3">
      <c r="B121" s="82" t="s">
        <v>54</v>
      </c>
      <c r="C121" s="83"/>
      <c r="D121" s="84"/>
      <c r="E121" s="83"/>
      <c r="F121" s="83"/>
      <c r="G121" s="83"/>
      <c r="H121" s="83"/>
      <c r="I121" s="84"/>
      <c r="J121" s="84"/>
      <c r="K121" s="84"/>
      <c r="L121" s="84"/>
      <c r="M121" s="247"/>
    </row>
    <row r="122" spans="2:13" x14ac:dyDescent="0.25">
      <c r="B122" s="85" t="s">
        <v>55</v>
      </c>
      <c r="C122" s="112">
        <f t="shared" ref="C122:M122" si="47">C98/C$95</f>
        <v>0.33826998497653521</v>
      </c>
      <c r="D122" s="112">
        <f t="shared" si="47"/>
        <v>0.42362933153349475</v>
      </c>
      <c r="E122" s="112">
        <f t="shared" si="47"/>
        <v>0.13235425541422147</v>
      </c>
      <c r="F122" s="112" t="e">
        <f t="shared" si="47"/>
        <v>#DIV/0!</v>
      </c>
      <c r="G122" s="112">
        <f t="shared" si="47"/>
        <v>0.24992037414074628</v>
      </c>
      <c r="H122" s="112">
        <f t="shared" si="47"/>
        <v>0.30056898791337278</v>
      </c>
      <c r="I122" s="112" t="e">
        <f t="shared" si="47"/>
        <v>#DIV/0!</v>
      </c>
      <c r="J122" s="112">
        <f t="shared" ref="J122" si="48">J98/J$95</f>
        <v>0.19448896560226853</v>
      </c>
      <c r="K122" s="112">
        <f t="shared" si="47"/>
        <v>0.1723156935895461</v>
      </c>
      <c r="L122" s="112">
        <f t="shared" si="47"/>
        <v>0.43090186181422824</v>
      </c>
      <c r="M122" s="241">
        <f t="shared" si="47"/>
        <v>0.31763896020295079</v>
      </c>
    </row>
    <row r="123" spans="2:13" x14ac:dyDescent="0.25">
      <c r="B123" s="87" t="s">
        <v>56</v>
      </c>
      <c r="C123" s="113">
        <f t="shared" ref="C123:M123" si="49">C99/C$95</f>
        <v>0</v>
      </c>
      <c r="D123" s="113">
        <f t="shared" si="49"/>
        <v>0</v>
      </c>
      <c r="E123" s="113">
        <f t="shared" si="49"/>
        <v>0</v>
      </c>
      <c r="F123" s="113" t="e">
        <f t="shared" si="49"/>
        <v>#DIV/0!</v>
      </c>
      <c r="G123" s="113">
        <f t="shared" si="49"/>
        <v>0</v>
      </c>
      <c r="H123" s="113">
        <f t="shared" si="49"/>
        <v>0</v>
      </c>
      <c r="I123" s="113" t="e">
        <f t="shared" si="49"/>
        <v>#DIV/0!</v>
      </c>
      <c r="J123" s="113">
        <f t="shared" ref="J123" si="50">J99/J$95</f>
        <v>2.4892121809887806E-3</v>
      </c>
      <c r="K123" s="113">
        <f t="shared" si="49"/>
        <v>0</v>
      </c>
      <c r="L123" s="113">
        <f t="shared" si="49"/>
        <v>8.8288126223625175E-3</v>
      </c>
      <c r="M123" s="241">
        <f t="shared" si="49"/>
        <v>2.2991676820416878E-3</v>
      </c>
    </row>
    <row r="124" spans="2:13" ht="16.899999999999999" customHeight="1" thickBot="1" x14ac:dyDescent="0.3">
      <c r="B124" s="89" t="s">
        <v>57</v>
      </c>
      <c r="C124" s="114">
        <f>SUM(C122:C123)</f>
        <v>0.33826998497653521</v>
      </c>
      <c r="D124" s="114">
        <f t="shared" ref="D124:M124" si="51">SUM(D122:D123)</f>
        <v>0.42362933153349475</v>
      </c>
      <c r="E124" s="114">
        <f t="shared" si="51"/>
        <v>0.13235425541422147</v>
      </c>
      <c r="F124" s="114" t="e">
        <f t="shared" si="51"/>
        <v>#DIV/0!</v>
      </c>
      <c r="G124" s="114">
        <f t="shared" si="51"/>
        <v>0.24992037414074628</v>
      </c>
      <c r="H124" s="114">
        <f t="shared" si="51"/>
        <v>0.30056898791337278</v>
      </c>
      <c r="I124" s="114" t="e">
        <f t="shared" si="51"/>
        <v>#DIV/0!</v>
      </c>
      <c r="J124" s="114">
        <f t="shared" ref="J124" si="52">SUM(J122:J123)</f>
        <v>0.1969781777832573</v>
      </c>
      <c r="K124" s="114">
        <f t="shared" si="51"/>
        <v>0.1723156935895461</v>
      </c>
      <c r="L124" s="229">
        <f t="shared" si="51"/>
        <v>0.43973067443659075</v>
      </c>
      <c r="M124" s="248">
        <f t="shared" si="51"/>
        <v>0.31993812788499248</v>
      </c>
    </row>
    <row r="125" spans="2:13" ht="16.899999999999999" customHeight="1" x14ac:dyDescent="0.25">
      <c r="B125" s="3" t="s">
        <v>148</v>
      </c>
      <c r="C125" s="184">
        <v>2500</v>
      </c>
      <c r="D125" s="184">
        <v>2500</v>
      </c>
      <c r="E125" s="184">
        <v>2500</v>
      </c>
      <c r="F125" s="184">
        <v>50000</v>
      </c>
      <c r="G125" s="184">
        <v>2500</v>
      </c>
      <c r="H125" s="184">
        <v>2500</v>
      </c>
      <c r="I125" s="184">
        <v>2500</v>
      </c>
      <c r="J125" s="184">
        <v>2501</v>
      </c>
      <c r="K125" s="184">
        <v>2500</v>
      </c>
      <c r="L125" s="184"/>
      <c r="M125" s="183"/>
    </row>
    <row r="126" spans="2:13" ht="16.899999999999999" customHeight="1" x14ac:dyDescent="0.25">
      <c r="B126" s="3" t="s">
        <v>165</v>
      </c>
      <c r="C126" s="184">
        <f>0.15*C95</f>
        <v>810032.85</v>
      </c>
      <c r="D126" s="184">
        <f t="shared" ref="D126:K126" si="53">0.15*D95</f>
        <v>65116.95</v>
      </c>
      <c r="E126" s="184">
        <f t="shared" si="53"/>
        <v>55388.85</v>
      </c>
      <c r="F126" s="184">
        <f t="shared" si="53"/>
        <v>0</v>
      </c>
      <c r="G126" s="184">
        <f t="shared" si="53"/>
        <v>37205.25</v>
      </c>
      <c r="H126" s="184">
        <f t="shared" si="53"/>
        <v>270559.34999999998</v>
      </c>
      <c r="I126" s="184">
        <f t="shared" si="53"/>
        <v>0</v>
      </c>
      <c r="J126" s="184">
        <f>0.1*J95</f>
        <v>243330</v>
      </c>
      <c r="K126" s="184">
        <f t="shared" si="53"/>
        <v>89581.8</v>
      </c>
      <c r="L126" s="184">
        <f>0.1*L95</f>
        <v>304627.60000000003</v>
      </c>
      <c r="M126" s="183"/>
    </row>
    <row r="127" spans="2:13" ht="16.899999999999999" customHeight="1" x14ac:dyDescent="0.25">
      <c r="B127" s="3" t="s">
        <v>149</v>
      </c>
      <c r="C127" s="184">
        <f>IF(C125&gt;C126,C100-C125,C100-C126)</f>
        <v>1016699.15</v>
      </c>
      <c r="D127" s="184">
        <f t="shared" ref="D127:L127" si="54">IF(D125&gt;D126,D100-D125,D100-D126)</f>
        <v>118786.05</v>
      </c>
      <c r="E127" s="184">
        <f t="shared" si="54"/>
        <v>-6515.8499999999985</v>
      </c>
      <c r="F127" s="184">
        <f t="shared" si="54"/>
        <v>-50000</v>
      </c>
      <c r="G127" s="184">
        <f t="shared" si="54"/>
        <v>24783.75</v>
      </c>
      <c r="H127" s="184">
        <f t="shared" si="54"/>
        <v>271585.65000000002</v>
      </c>
      <c r="I127" s="184">
        <f t="shared" si="54"/>
        <v>-2500</v>
      </c>
      <c r="J127" s="184">
        <f t="shared" ref="J127" si="55">IF(J125&gt;J126,J100-J125,J100-J126)</f>
        <v>235977</v>
      </c>
      <c r="K127" s="184">
        <f t="shared" si="54"/>
        <v>13327.199999999997</v>
      </c>
      <c r="L127" s="184">
        <f t="shared" si="54"/>
        <v>1034913.3999999999</v>
      </c>
      <c r="M127" s="183"/>
    </row>
    <row r="128" spans="2:13" ht="16.899999999999999" customHeight="1" x14ac:dyDescent="0.25">
      <c r="B128" s="181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3"/>
    </row>
    <row r="131" spans="2:13" x14ac:dyDescent="0.25">
      <c r="B131" s="160" t="s">
        <v>110</v>
      </c>
    </row>
    <row r="132" spans="2:13" x14ac:dyDescent="0.25">
      <c r="B132" s="157" t="s">
        <v>87</v>
      </c>
    </row>
    <row r="133" spans="2:13" x14ac:dyDescent="0.25">
      <c r="B133" s="158" t="s">
        <v>88</v>
      </c>
    </row>
    <row r="134" spans="2:13" x14ac:dyDescent="0.25">
      <c r="B134" s="158" t="s">
        <v>89</v>
      </c>
    </row>
    <row r="135" spans="2:13" x14ac:dyDescent="0.25">
      <c r="B135" s="158" t="s">
        <v>111</v>
      </c>
    </row>
    <row r="136" spans="2:13" x14ac:dyDescent="0.25">
      <c r="B136" s="158" t="s">
        <v>112</v>
      </c>
    </row>
    <row r="137" spans="2:13" x14ac:dyDescent="0.25">
      <c r="B137" s="159" t="s">
        <v>90</v>
      </c>
    </row>
    <row r="138" spans="2:13" x14ac:dyDescent="0.25">
      <c r="B138" s="160" t="s">
        <v>91</v>
      </c>
    </row>
    <row r="139" spans="2:13" x14ac:dyDescent="0.25">
      <c r="B139" s="157" t="s">
        <v>92</v>
      </c>
      <c r="C139" s="3">
        <f t="shared" ref="C139:M139" si="56">ABS(C34)/C29</f>
        <v>0.41963018211480307</v>
      </c>
      <c r="D139" s="3">
        <f t="shared" si="56"/>
        <v>0.7848096094133028</v>
      </c>
      <c r="E139" s="3">
        <f t="shared" si="56"/>
        <v>0.88414376321353061</v>
      </c>
      <c r="F139" s="3">
        <f t="shared" si="56"/>
        <v>0.51708338964724965</v>
      </c>
      <c r="G139" s="3">
        <f t="shared" si="56"/>
        <v>-1.6584319334286828</v>
      </c>
      <c r="H139" s="3">
        <f t="shared" si="56"/>
        <v>0.52366397160323408</v>
      </c>
      <c r="I139" s="3" t="e">
        <f t="shared" si="56"/>
        <v>#DIV/0!</v>
      </c>
      <c r="J139" s="3">
        <f t="shared" si="56"/>
        <v>0.70321027287319426</v>
      </c>
      <c r="K139" s="3">
        <f t="shared" si="56"/>
        <v>0.7710930324104448</v>
      </c>
      <c r="L139" s="3">
        <f t="shared" si="56"/>
        <v>0.72992760531490197</v>
      </c>
      <c r="M139" s="3">
        <f t="shared" si="56"/>
        <v>0.63361734997590546</v>
      </c>
    </row>
    <row r="140" spans="2:13" x14ac:dyDescent="0.25">
      <c r="B140" s="161" t="s">
        <v>93</v>
      </c>
      <c r="C140" s="3">
        <f t="shared" ref="C140:M140" si="57">C25/C29</f>
        <v>0.12791300311411355</v>
      </c>
      <c r="D140" s="3">
        <f t="shared" si="57"/>
        <v>0.17968622323909136</v>
      </c>
      <c r="E140" s="3">
        <f t="shared" si="57"/>
        <v>-4.2452431289640595E-2</v>
      </c>
      <c r="F140" s="3">
        <f t="shared" si="57"/>
        <v>0.8275577780781187</v>
      </c>
      <c r="G140" s="3">
        <f t="shared" si="57"/>
        <v>-0.28695878299310884</v>
      </c>
      <c r="H140" s="3">
        <f t="shared" si="57"/>
        <v>0.43406954578321172</v>
      </c>
      <c r="I140" s="3" t="e">
        <f t="shared" si="57"/>
        <v>#DIV/0!</v>
      </c>
      <c r="J140" s="3">
        <f t="shared" si="57"/>
        <v>0.19257624398073836</v>
      </c>
      <c r="K140" s="3">
        <f t="shared" si="57"/>
        <v>0.27940887022700434</v>
      </c>
      <c r="L140" s="3">
        <f t="shared" si="57"/>
        <v>0.16941994875767144</v>
      </c>
      <c r="M140" s="3">
        <f t="shared" si="57"/>
        <v>0.25678191112412951</v>
      </c>
    </row>
    <row r="141" spans="2:13" x14ac:dyDescent="0.25">
      <c r="B141" s="161" t="s">
        <v>113</v>
      </c>
    </row>
    <row r="142" spans="2:13" x14ac:dyDescent="0.25">
      <c r="B142" s="161" t="s">
        <v>18</v>
      </c>
    </row>
    <row r="143" spans="2:13" x14ac:dyDescent="0.25">
      <c r="B143" s="159" t="s">
        <v>19</v>
      </c>
    </row>
    <row r="144" spans="2:13" x14ac:dyDescent="0.25">
      <c r="B144" s="160" t="s">
        <v>94</v>
      </c>
    </row>
    <row r="145" spans="2:13" x14ac:dyDescent="0.25">
      <c r="B145" s="157" t="s">
        <v>95</v>
      </c>
      <c r="C145" s="3">
        <f t="shared" ref="C145:M145" si="58">(-1*C22)/C51</f>
        <v>2.3431797899687631E-3</v>
      </c>
      <c r="D145" s="3">
        <f t="shared" si="58"/>
        <v>1.1801694052963701E-2</v>
      </c>
      <c r="E145" s="3">
        <f t="shared" si="58"/>
        <v>1.3631110752774867E-2</v>
      </c>
      <c r="F145" s="3">
        <f t="shared" si="58"/>
        <v>6.2338776370423959E-3</v>
      </c>
      <c r="G145" s="3">
        <f t="shared" si="58"/>
        <v>9.0209716513858146E-2</v>
      </c>
      <c r="H145" s="3">
        <f t="shared" si="58"/>
        <v>1.9527189637062988E-3</v>
      </c>
      <c r="I145" s="3" t="e">
        <f t="shared" si="58"/>
        <v>#DIV/0!</v>
      </c>
      <c r="J145" s="3">
        <f t="shared" si="58"/>
        <v>5.1733125007348453E-3</v>
      </c>
      <c r="K145" s="3">
        <f t="shared" si="58"/>
        <v>3.7626431598444515E-3</v>
      </c>
      <c r="L145" s="3">
        <f t="shared" si="58"/>
        <v>3.1417921729291276E-4</v>
      </c>
      <c r="M145" s="3">
        <f t="shared" si="58"/>
        <v>4.6637634797349102E-3</v>
      </c>
    </row>
    <row r="146" spans="2:13" x14ac:dyDescent="0.25">
      <c r="B146" s="159" t="s">
        <v>96</v>
      </c>
    </row>
    <row r="147" spans="2:13" x14ac:dyDescent="0.25">
      <c r="B147" s="162" t="s">
        <v>97</v>
      </c>
    </row>
    <row r="148" spans="2:13" x14ac:dyDescent="0.25">
      <c r="B148" s="157" t="s">
        <v>98</v>
      </c>
    </row>
    <row r="149" spans="2:13" x14ac:dyDescent="0.25">
      <c r="B149" s="158" t="s">
        <v>114</v>
      </c>
    </row>
    <row r="150" spans="2:13" x14ac:dyDescent="0.25">
      <c r="B150" s="158" t="s">
        <v>99</v>
      </c>
    </row>
    <row r="151" spans="2:13" x14ac:dyDescent="0.25">
      <c r="B151" s="158" t="s">
        <v>100</v>
      </c>
    </row>
    <row r="152" spans="2:13" x14ac:dyDescent="0.25">
      <c r="B152" s="158" t="s">
        <v>101</v>
      </c>
    </row>
    <row r="153" spans="2:13" x14ac:dyDescent="0.25">
      <c r="B153" s="158" t="s">
        <v>102</v>
      </c>
    </row>
    <row r="154" spans="2:13" x14ac:dyDescent="0.25">
      <c r="B154" s="158" t="s">
        <v>103</v>
      </c>
    </row>
    <row r="155" spans="2:13" x14ac:dyDescent="0.25">
      <c r="B155" s="158" t="s">
        <v>104</v>
      </c>
    </row>
    <row r="156" spans="2:13" x14ac:dyDescent="0.25">
      <c r="B156" s="158" t="s">
        <v>105</v>
      </c>
    </row>
    <row r="157" spans="2:13" x14ac:dyDescent="0.25">
      <c r="B157" s="159" t="s">
        <v>106</v>
      </c>
    </row>
    <row r="158" spans="2:13" x14ac:dyDescent="0.25">
      <c r="B158" s="160" t="s">
        <v>107</v>
      </c>
    </row>
    <row r="159" spans="2:13" x14ac:dyDescent="0.25">
      <c r="B159" s="157" t="s">
        <v>108</v>
      </c>
    </row>
    <row r="160" spans="2:13" x14ac:dyDescent="0.25">
      <c r="B160" s="163" t="s">
        <v>109</v>
      </c>
    </row>
    <row r="161" spans="2:2" x14ac:dyDescent="0.25">
      <c r="B161" s="164" t="s">
        <v>115</v>
      </c>
    </row>
  </sheetData>
  <conditionalFormatting sqref="C120:M120">
    <cfRule type="cellIs" dxfId="28" priority="18" stopIfTrue="1" operator="lessThan">
      <formula>#REF!</formula>
    </cfRule>
    <cfRule type="cellIs" dxfId="27" priority="19" operator="lessThan">
      <formula>#REF!</formula>
    </cfRule>
  </conditionalFormatting>
  <conditionalFormatting sqref="C124:M128">
    <cfRule type="cellIs" dxfId="26" priority="1" stopIfTrue="1" operator="lessThan">
      <formula>#REF!</formula>
    </cfRule>
    <cfRule type="cellIs" dxfId="25" priority="2" operator="lessThan">
      <formula>#REF!</formula>
    </cfRule>
  </conditionalFormatting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12</xdr:col>
                    <xdr:colOff>0</xdr:colOff>
                    <xdr:row>7</xdr:row>
                    <xdr:rowOff>9525</xdr:rowOff>
                  </from>
                  <to>
                    <xdr:col>13</xdr:col>
                    <xdr:colOff>57150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647700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A46B-3739-4164-B9AB-B70788389A32}">
  <dimension ref="A1:P161"/>
  <sheetViews>
    <sheetView topLeftCell="A41" zoomScaleNormal="100" workbookViewId="0">
      <pane xSplit="2" topLeftCell="C1" activePane="topRight" state="frozen"/>
      <selection pane="topRight" activeCell="G41" sqref="G41"/>
    </sheetView>
  </sheetViews>
  <sheetFormatPr defaultColWidth="9.140625" defaultRowHeight="12.75" outlineLevelRow="1" outlineLevelCol="1" x14ac:dyDescent="0.25"/>
  <cols>
    <col min="1" max="1" width="2.42578125" style="1" customWidth="1"/>
    <col min="2" max="2" width="39.140625" style="3" bestFit="1" customWidth="1"/>
    <col min="3" max="3" width="12.140625" style="3" bestFit="1" customWidth="1" outlineLevel="1"/>
    <col min="4" max="4" width="11.7109375" style="3" customWidth="1" outlineLevel="1"/>
    <col min="5" max="6" width="10.7109375" style="3" customWidth="1" outlineLevel="1"/>
    <col min="7" max="7" width="13.7109375" style="3" customWidth="1" outlineLevel="1"/>
    <col min="8" max="8" width="15.42578125" style="3" customWidth="1" outlineLevel="1"/>
    <col min="9" max="10" width="11.28515625" style="3" customWidth="1" outlineLevel="1"/>
    <col min="11" max="11" width="14" style="3" customWidth="1" outlineLevel="1"/>
    <col min="12" max="12" width="11.5703125" style="3" customWidth="1" outlineLevel="1"/>
    <col min="13" max="13" width="14" style="115" bestFit="1" customWidth="1"/>
    <col min="14" max="16384" width="9.140625" style="3"/>
  </cols>
  <sheetData>
    <row r="1" spans="1:16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2"/>
    </row>
    <row r="3" spans="1:16" ht="13.9" hidden="1" customHeight="1" outlineLevel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6">
        <v>1</v>
      </c>
    </row>
    <row r="4" spans="1:16" ht="13.9" hidden="1" customHeight="1" outlineLevel="1" x14ac:dyDescent="0.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6">
        <v>2</v>
      </c>
    </row>
    <row r="5" spans="1:16" ht="13.9" hidden="1" customHeight="1" outlineLevel="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6">
        <v>3</v>
      </c>
    </row>
    <row r="6" spans="1:16" ht="13.9" hidden="1" customHeight="1" outlineLevel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6" collapsed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6" s="11" customFormat="1" ht="12.75" customHeight="1" x14ac:dyDescent="0.25">
      <c r="A8" s="1"/>
      <c r="B8" s="7" t="s">
        <v>3</v>
      </c>
      <c r="C8" s="8"/>
      <c r="D8" s="8"/>
      <c r="E8" s="8"/>
      <c r="F8" s="8"/>
      <c r="G8" s="9"/>
      <c r="H8" s="9"/>
      <c r="I8" s="9"/>
      <c r="J8" s="9"/>
      <c r="K8" s="9"/>
      <c r="L8" s="8"/>
      <c r="M8" s="116"/>
    </row>
    <row r="9" spans="1:16" s="11" customFormat="1" ht="13.5" thickBot="1" x14ac:dyDescent="0.3">
      <c r="A9" s="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17"/>
    </row>
    <row r="10" spans="1:16" s="11" customFormat="1" ht="14.45" customHeight="1" thickTop="1" x14ac:dyDescent="0.25">
      <c r="A10" s="1"/>
      <c r="B10" s="14"/>
      <c r="C10" s="15" t="s">
        <v>65</v>
      </c>
      <c r="D10" s="15" t="s">
        <v>66</v>
      </c>
      <c r="E10" s="15" t="s">
        <v>67</v>
      </c>
      <c r="F10" s="15" t="s">
        <v>83</v>
      </c>
      <c r="G10" s="15" t="s">
        <v>82</v>
      </c>
      <c r="H10" s="15" t="s">
        <v>68</v>
      </c>
      <c r="I10" s="15" t="s">
        <v>69</v>
      </c>
      <c r="J10" s="15" t="s">
        <v>161</v>
      </c>
      <c r="K10" s="15" t="s">
        <v>70</v>
      </c>
      <c r="L10" s="15" t="s">
        <v>71</v>
      </c>
      <c r="M10" s="118" t="s">
        <v>4</v>
      </c>
    </row>
    <row r="11" spans="1:16" s="11" customFormat="1" x14ac:dyDescent="0.25">
      <c r="A11" s="1"/>
      <c r="B11" s="14"/>
      <c r="C11" s="16">
        <v>46203</v>
      </c>
      <c r="D11" s="16">
        <f>C11</f>
        <v>46203</v>
      </c>
      <c r="E11" s="16">
        <f t="shared" ref="E11:L11" si="0">D11</f>
        <v>46203</v>
      </c>
      <c r="F11" s="16">
        <f t="shared" si="0"/>
        <v>46203</v>
      </c>
      <c r="G11" s="16">
        <f t="shared" si="0"/>
        <v>46203</v>
      </c>
      <c r="H11" s="16">
        <f t="shared" si="0"/>
        <v>46203</v>
      </c>
      <c r="I11" s="16">
        <f t="shared" si="0"/>
        <v>46203</v>
      </c>
      <c r="J11" s="16">
        <f t="shared" si="0"/>
        <v>46203</v>
      </c>
      <c r="K11" s="16">
        <f t="shared" si="0"/>
        <v>46203</v>
      </c>
      <c r="L11" s="16">
        <f t="shared" si="0"/>
        <v>46203</v>
      </c>
      <c r="M11" s="119">
        <v>45565</v>
      </c>
    </row>
    <row r="12" spans="1:16" ht="16.5" customHeight="1" x14ac:dyDescent="0.25">
      <c r="B12" s="17"/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5</v>
      </c>
      <c r="K12" s="18" t="s">
        <v>5</v>
      </c>
      <c r="L12" s="18" t="s">
        <v>5</v>
      </c>
      <c r="M12" s="120" t="s">
        <v>5</v>
      </c>
      <c r="O12" s="3">
        <v>271003</v>
      </c>
      <c r="P12" s="19">
        <f>C13-O12</f>
        <v>49199</v>
      </c>
    </row>
    <row r="13" spans="1:16" x14ac:dyDescent="0.25">
      <c r="B13" s="17" t="s">
        <v>6</v>
      </c>
      <c r="C13" s="19">
        <f t="shared" ref="C13:M13" si="1">SUM(C14:C15)</f>
        <v>320202</v>
      </c>
      <c r="D13" s="19">
        <f t="shared" si="1"/>
        <v>72597</v>
      </c>
      <c r="E13" s="19">
        <f t="shared" si="1"/>
        <v>36935</v>
      </c>
      <c r="F13" s="19">
        <f t="shared" si="1"/>
        <v>64330</v>
      </c>
      <c r="G13" s="19">
        <f t="shared" si="1"/>
        <v>17806</v>
      </c>
      <c r="H13" s="19">
        <f t="shared" si="1"/>
        <v>118570</v>
      </c>
      <c r="I13" s="19">
        <f t="shared" si="1"/>
        <v>0</v>
      </c>
      <c r="J13" s="19">
        <f t="shared" si="1"/>
        <v>209192</v>
      </c>
      <c r="K13" s="19">
        <f t="shared" si="1"/>
        <v>66033</v>
      </c>
      <c r="L13" s="19">
        <f t="shared" si="1"/>
        <v>206082</v>
      </c>
      <c r="M13" s="121">
        <f t="shared" si="1"/>
        <v>1111747</v>
      </c>
      <c r="O13" s="3">
        <v>262847</v>
      </c>
      <c r="P13" s="19">
        <f t="shared" ref="P13:P42" si="2">C14-O13</f>
        <v>56645</v>
      </c>
    </row>
    <row r="14" spans="1:16" outlineLevel="1" x14ac:dyDescent="0.25">
      <c r="B14" s="23" t="s">
        <v>7</v>
      </c>
      <c r="C14" s="24">
        <v>319492</v>
      </c>
      <c r="D14" s="24">
        <v>61506</v>
      </c>
      <c r="E14" s="24">
        <v>35910</v>
      </c>
      <c r="F14" s="24">
        <v>60913</v>
      </c>
      <c r="G14" s="24">
        <v>17806</v>
      </c>
      <c r="H14" s="24">
        <v>105260</v>
      </c>
      <c r="I14" s="24"/>
      <c r="J14" s="24">
        <v>207262</v>
      </c>
      <c r="K14" s="24">
        <v>66033</v>
      </c>
      <c r="L14" s="24">
        <v>174209</v>
      </c>
      <c r="M14" s="122">
        <f>SUM(C14:L14)</f>
        <v>1048391</v>
      </c>
      <c r="O14" s="3">
        <v>8156</v>
      </c>
      <c r="P14" s="19">
        <f t="shared" si="2"/>
        <v>-7446</v>
      </c>
    </row>
    <row r="15" spans="1:16" outlineLevel="1" x14ac:dyDescent="0.25">
      <c r="B15" s="23" t="s">
        <v>8</v>
      </c>
      <c r="C15" s="26">
        <v>710</v>
      </c>
      <c r="D15" s="26">
        <v>11091</v>
      </c>
      <c r="E15" s="26">
        <v>1025</v>
      </c>
      <c r="F15" s="26">
        <v>3417</v>
      </c>
      <c r="G15" s="26"/>
      <c r="H15" s="26">
        <v>13310</v>
      </c>
      <c r="I15" s="26"/>
      <c r="J15" s="26">
        <v>1930</v>
      </c>
      <c r="K15" s="26"/>
      <c r="L15" s="26">
        <v>31873</v>
      </c>
      <c r="M15" s="122">
        <f>SUM(C15:L15)</f>
        <v>63356</v>
      </c>
      <c r="P15" s="19">
        <f t="shared" si="2"/>
        <v>0</v>
      </c>
    </row>
    <row r="16" spans="1:16" outlineLevel="1" x14ac:dyDescent="0.25">
      <c r="B16" s="17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21"/>
      <c r="O16" s="3">
        <v>-74003</v>
      </c>
      <c r="P16" s="19">
        <f t="shared" si="2"/>
        <v>-45453</v>
      </c>
    </row>
    <row r="17" spans="1:16" x14ac:dyDescent="0.25">
      <c r="B17" s="17" t="s">
        <v>9</v>
      </c>
      <c r="C17" s="27">
        <f t="shared" ref="C17:M17" si="3">SUM(C18:C20)</f>
        <v>-119456</v>
      </c>
      <c r="D17" s="27">
        <f t="shared" si="3"/>
        <v>-24739</v>
      </c>
      <c r="E17" s="27">
        <f t="shared" si="3"/>
        <v>-12136</v>
      </c>
      <c r="F17" s="27">
        <f t="shared" si="3"/>
        <v>-42259</v>
      </c>
      <c r="G17" s="27">
        <f t="shared" si="3"/>
        <v>-10928</v>
      </c>
      <c r="H17" s="27">
        <f t="shared" si="3"/>
        <v>-52720</v>
      </c>
      <c r="I17" s="27">
        <f t="shared" si="3"/>
        <v>0</v>
      </c>
      <c r="J17" s="27">
        <f t="shared" si="3"/>
        <v>-36286</v>
      </c>
      <c r="K17" s="27">
        <f t="shared" si="3"/>
        <v>-17769</v>
      </c>
      <c r="L17" s="27">
        <f t="shared" si="3"/>
        <v>-87027</v>
      </c>
      <c r="M17" s="124">
        <f t="shared" si="3"/>
        <v>-403320</v>
      </c>
      <c r="O17" s="3">
        <v>-16086</v>
      </c>
      <c r="P17" s="19">
        <f t="shared" si="2"/>
        <v>-17682</v>
      </c>
    </row>
    <row r="18" spans="1:16" ht="15" outlineLevel="1" x14ac:dyDescent="0.25">
      <c r="A18" s="28"/>
      <c r="B18" s="23" t="s">
        <v>10</v>
      </c>
      <c r="C18" s="24">
        <v>-33768</v>
      </c>
      <c r="D18" s="24">
        <v>-7413</v>
      </c>
      <c r="E18" s="24">
        <v>-10120</v>
      </c>
      <c r="F18" s="24">
        <v>-41513</v>
      </c>
      <c r="G18" s="24">
        <v>-9676</v>
      </c>
      <c r="H18" s="24">
        <v>-45589</v>
      </c>
      <c r="I18" s="24"/>
      <c r="J18" s="24">
        <v>-36286</v>
      </c>
      <c r="K18" s="24">
        <v>-291</v>
      </c>
      <c r="L18" s="24">
        <v>-53394</v>
      </c>
      <c r="M18" s="122">
        <f t="shared" ref="M18:M23" si="4">SUM(C18:L18)</f>
        <v>-238050</v>
      </c>
      <c r="O18" s="3">
        <v>-57917</v>
      </c>
      <c r="P18" s="19">
        <f t="shared" si="2"/>
        <v>-27771</v>
      </c>
    </row>
    <row r="19" spans="1:16" ht="15" outlineLevel="1" x14ac:dyDescent="0.25">
      <c r="A19" s="28"/>
      <c r="B19" s="23" t="s">
        <v>11</v>
      </c>
      <c r="C19" s="26">
        <v>-85688</v>
      </c>
      <c r="D19" s="26">
        <v>-16708</v>
      </c>
      <c r="E19" s="26">
        <v>-2016</v>
      </c>
      <c r="F19" s="26"/>
      <c r="G19" s="26">
        <v>-1177</v>
      </c>
      <c r="H19" s="26">
        <v>-7131</v>
      </c>
      <c r="I19" s="26"/>
      <c r="J19" s="26"/>
      <c r="K19" s="26">
        <v>-11875</v>
      </c>
      <c r="L19" s="26">
        <v>-33633</v>
      </c>
      <c r="M19" s="122">
        <f t="shared" si="4"/>
        <v>-158228</v>
      </c>
      <c r="P19" s="19">
        <f t="shared" si="2"/>
        <v>0</v>
      </c>
    </row>
    <row r="20" spans="1:16" ht="15" outlineLevel="1" x14ac:dyDescent="0.25">
      <c r="A20" s="28"/>
      <c r="B20" s="23" t="s">
        <v>8</v>
      </c>
      <c r="C20" s="25"/>
      <c r="D20" s="25">
        <v>-618</v>
      </c>
      <c r="E20" s="25"/>
      <c r="F20" s="25">
        <v>-746</v>
      </c>
      <c r="G20" s="25">
        <v>-75</v>
      </c>
      <c r="H20" s="25"/>
      <c r="I20" s="25"/>
      <c r="J20" s="25"/>
      <c r="K20" s="25">
        <v>-5603</v>
      </c>
      <c r="L20" s="25"/>
      <c r="M20" s="122">
        <f t="shared" si="4"/>
        <v>-7042</v>
      </c>
      <c r="O20" s="3">
        <v>197000</v>
      </c>
      <c r="P20" s="19">
        <f t="shared" si="2"/>
        <v>3746</v>
      </c>
    </row>
    <row r="21" spans="1:16" s="11" customFormat="1" ht="15" x14ac:dyDescent="0.25">
      <c r="A21" s="28"/>
      <c r="B21" s="30" t="s">
        <v>12</v>
      </c>
      <c r="C21" s="31">
        <f t="shared" ref="C21:L21" si="5">C13+C17</f>
        <v>200746</v>
      </c>
      <c r="D21" s="31">
        <f t="shared" si="5"/>
        <v>47858</v>
      </c>
      <c r="E21" s="31">
        <f t="shared" si="5"/>
        <v>24799</v>
      </c>
      <c r="F21" s="31">
        <f t="shared" si="5"/>
        <v>22071</v>
      </c>
      <c r="G21" s="31">
        <f t="shared" si="5"/>
        <v>6878</v>
      </c>
      <c r="H21" s="31">
        <f t="shared" si="5"/>
        <v>65850</v>
      </c>
      <c r="I21" s="31">
        <f t="shared" si="5"/>
        <v>0</v>
      </c>
      <c r="J21" s="31">
        <f t="shared" si="5"/>
        <v>172906</v>
      </c>
      <c r="K21" s="31">
        <f t="shared" si="5"/>
        <v>48264</v>
      </c>
      <c r="L21" s="31">
        <f t="shared" si="5"/>
        <v>119055</v>
      </c>
      <c r="M21" s="122">
        <f t="shared" si="4"/>
        <v>708427</v>
      </c>
      <c r="O21" s="11">
        <v>-15569</v>
      </c>
      <c r="P21" s="19">
        <f t="shared" si="2"/>
        <v>16085</v>
      </c>
    </row>
    <row r="22" spans="1:16" ht="15" x14ac:dyDescent="0.25">
      <c r="A22" s="28"/>
      <c r="B22" s="17" t="s">
        <v>13</v>
      </c>
      <c r="C22" s="25">
        <v>516</v>
      </c>
      <c r="D22" s="25">
        <v>-2144</v>
      </c>
      <c r="E22" s="25">
        <v>-5213</v>
      </c>
      <c r="F22" s="25">
        <v>-4904</v>
      </c>
      <c r="G22" s="25">
        <v>-24139</v>
      </c>
      <c r="H22" s="25">
        <v>-4990</v>
      </c>
      <c r="I22" s="25"/>
      <c r="J22" s="25">
        <v>-1216</v>
      </c>
      <c r="K22" s="25">
        <v>-3054</v>
      </c>
      <c r="L22" s="25">
        <v>-1174</v>
      </c>
      <c r="M22" s="122">
        <f t="shared" si="4"/>
        <v>-46318</v>
      </c>
      <c r="O22" s="3">
        <v>181431</v>
      </c>
      <c r="P22" s="19">
        <f t="shared" si="2"/>
        <v>19831</v>
      </c>
    </row>
    <row r="23" spans="1:16" ht="15" x14ac:dyDescent="0.25">
      <c r="A23" s="28"/>
      <c r="B23" s="32" t="s">
        <v>14</v>
      </c>
      <c r="C23" s="21">
        <f t="shared" ref="C23:L23" si="6">C21+C22</f>
        <v>201262</v>
      </c>
      <c r="D23" s="21">
        <f t="shared" si="6"/>
        <v>45714</v>
      </c>
      <c r="E23" s="21">
        <f t="shared" si="6"/>
        <v>19586</v>
      </c>
      <c r="F23" s="21">
        <f t="shared" si="6"/>
        <v>17167</v>
      </c>
      <c r="G23" s="21">
        <f t="shared" si="6"/>
        <v>-17261</v>
      </c>
      <c r="H23" s="21">
        <f t="shared" si="6"/>
        <v>60860</v>
      </c>
      <c r="I23" s="21">
        <f t="shared" si="6"/>
        <v>0</v>
      </c>
      <c r="J23" s="21">
        <f t="shared" si="6"/>
        <v>171690</v>
      </c>
      <c r="K23" s="21">
        <f t="shared" si="6"/>
        <v>45210</v>
      </c>
      <c r="L23" s="21">
        <f t="shared" si="6"/>
        <v>117881</v>
      </c>
      <c r="M23" s="122">
        <f t="shared" si="4"/>
        <v>662109</v>
      </c>
      <c r="P23" s="19">
        <f t="shared" si="2"/>
        <v>0</v>
      </c>
    </row>
    <row r="24" spans="1:16" ht="9.6" customHeight="1" x14ac:dyDescent="0.25">
      <c r="A24" s="28"/>
      <c r="B24" s="33"/>
      <c r="C24" s="19"/>
      <c r="D24" s="21"/>
      <c r="E24" s="19"/>
      <c r="F24" s="19"/>
      <c r="G24" s="19"/>
      <c r="H24" s="19"/>
      <c r="I24" s="21"/>
      <c r="J24" s="21"/>
      <c r="K24" s="21"/>
      <c r="L24" s="21"/>
      <c r="M24" s="125"/>
      <c r="O24" s="3">
        <v>18359</v>
      </c>
      <c r="P24" s="19">
        <f t="shared" si="2"/>
        <v>10903</v>
      </c>
    </row>
    <row r="25" spans="1:16" s="11" customFormat="1" ht="15" x14ac:dyDescent="0.25">
      <c r="A25" s="28"/>
      <c r="B25" s="32" t="s">
        <v>15</v>
      </c>
      <c r="C25" s="27">
        <f t="shared" ref="C25:M25" si="7">SUM(C26:C28)</f>
        <v>29262</v>
      </c>
      <c r="D25" s="27">
        <f t="shared" si="7"/>
        <v>13548</v>
      </c>
      <c r="E25" s="27">
        <f t="shared" si="7"/>
        <v>-356</v>
      </c>
      <c r="F25" s="27">
        <f t="shared" si="7"/>
        <v>66657</v>
      </c>
      <c r="G25" s="27">
        <f t="shared" si="7"/>
        <v>2780</v>
      </c>
      <c r="H25" s="27">
        <f t="shared" si="7"/>
        <v>46440</v>
      </c>
      <c r="I25" s="27">
        <f t="shared" si="7"/>
        <v>0</v>
      </c>
      <c r="J25" s="27">
        <f t="shared" si="7"/>
        <v>43984</v>
      </c>
      <c r="K25" s="27">
        <f t="shared" si="7"/>
        <v>19337</v>
      </c>
      <c r="L25" s="27">
        <f t="shared" si="7"/>
        <v>24970</v>
      </c>
      <c r="M25" s="124">
        <f t="shared" si="7"/>
        <v>246622</v>
      </c>
      <c r="O25" s="11">
        <v>14</v>
      </c>
      <c r="P25" s="19">
        <f t="shared" si="2"/>
        <v>26764</v>
      </c>
    </row>
    <row r="26" spans="1:16" s="11" customFormat="1" ht="15" x14ac:dyDescent="0.25">
      <c r="A26" s="28"/>
      <c r="B26" s="34" t="s">
        <v>16</v>
      </c>
      <c r="C26" s="29">
        <v>26778</v>
      </c>
      <c r="D26" s="29">
        <v>11632</v>
      </c>
      <c r="E26" s="29">
        <v>946</v>
      </c>
      <c r="F26" s="29">
        <v>64551</v>
      </c>
      <c r="G26" s="29">
        <v>2780</v>
      </c>
      <c r="H26" s="29">
        <v>46491</v>
      </c>
      <c r="I26" s="29"/>
      <c r="J26" s="29">
        <v>42916</v>
      </c>
      <c r="K26" s="29">
        <v>15858</v>
      </c>
      <c r="L26" s="29">
        <v>19288</v>
      </c>
      <c r="M26" s="122">
        <f t="shared" ref="M26:M28" si="8">SUM(C26:L26)</f>
        <v>231240</v>
      </c>
      <c r="O26" s="11">
        <v>-4837</v>
      </c>
      <c r="P26" s="19">
        <f t="shared" si="2"/>
        <v>5598</v>
      </c>
    </row>
    <row r="27" spans="1:16" s="11" customFormat="1" ht="15" x14ac:dyDescent="0.25">
      <c r="A27" s="28"/>
      <c r="B27" s="34" t="s">
        <v>172</v>
      </c>
      <c r="C27" s="29">
        <v>761</v>
      </c>
      <c r="D27" s="29">
        <v>-1312</v>
      </c>
      <c r="E27" s="29">
        <v>368</v>
      </c>
      <c r="F27" s="29">
        <v>2010</v>
      </c>
      <c r="G27" s="29"/>
      <c r="H27" s="29">
        <v>-51</v>
      </c>
      <c r="I27" s="29"/>
      <c r="J27" s="29">
        <v>-597</v>
      </c>
      <c r="K27" s="29">
        <v>-83</v>
      </c>
      <c r="L27" s="29"/>
      <c r="M27" s="122">
        <f t="shared" si="8"/>
        <v>1096</v>
      </c>
      <c r="P27" s="19">
        <f t="shared" si="2"/>
        <v>1723</v>
      </c>
    </row>
    <row r="28" spans="1:16" s="11" customFormat="1" ht="15" x14ac:dyDescent="0.25">
      <c r="A28" s="28"/>
      <c r="B28" s="34" t="s">
        <v>17</v>
      </c>
      <c r="C28" s="29">
        <v>1723</v>
      </c>
      <c r="D28" s="29">
        <v>3228</v>
      </c>
      <c r="E28" s="29">
        <v>-1670</v>
      </c>
      <c r="F28" s="29">
        <v>96</v>
      </c>
      <c r="G28" s="29"/>
      <c r="H28" s="29"/>
      <c r="I28" s="29"/>
      <c r="J28" s="29">
        <v>1665</v>
      </c>
      <c r="K28" s="29">
        <v>3562</v>
      </c>
      <c r="L28" s="29">
        <v>5682</v>
      </c>
      <c r="M28" s="122">
        <f t="shared" si="8"/>
        <v>14286</v>
      </c>
      <c r="P28" s="19">
        <f t="shared" si="2"/>
        <v>230524</v>
      </c>
    </row>
    <row r="29" spans="1:16" s="11" customFormat="1" ht="15" x14ac:dyDescent="0.25">
      <c r="A29" s="28"/>
      <c r="B29" s="32" t="s">
        <v>18</v>
      </c>
      <c r="C29" s="36">
        <f t="shared" ref="C29:M29" si="9">C23+C25</f>
        <v>230524</v>
      </c>
      <c r="D29" s="36">
        <f t="shared" si="9"/>
        <v>59262</v>
      </c>
      <c r="E29" s="36">
        <f t="shared" si="9"/>
        <v>19230</v>
      </c>
      <c r="F29" s="36">
        <f t="shared" si="9"/>
        <v>83824</v>
      </c>
      <c r="G29" s="36">
        <f t="shared" si="9"/>
        <v>-14481</v>
      </c>
      <c r="H29" s="36">
        <f t="shared" si="9"/>
        <v>107300</v>
      </c>
      <c r="I29" s="36">
        <f t="shared" si="9"/>
        <v>0</v>
      </c>
      <c r="J29" s="36">
        <f t="shared" si="9"/>
        <v>215674</v>
      </c>
      <c r="K29" s="36">
        <f t="shared" si="9"/>
        <v>64547</v>
      </c>
      <c r="L29" s="36">
        <f t="shared" si="9"/>
        <v>142851</v>
      </c>
      <c r="M29" s="126">
        <f t="shared" si="9"/>
        <v>908731</v>
      </c>
      <c r="P29" s="19">
        <f t="shared" si="2"/>
        <v>0</v>
      </c>
    </row>
    <row r="30" spans="1:16" s="11" customFormat="1" ht="12" customHeight="1" x14ac:dyDescent="0.25">
      <c r="A30" s="28"/>
      <c r="B30" s="34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21"/>
      <c r="O30" s="11">
        <v>23182</v>
      </c>
      <c r="P30" s="19">
        <f t="shared" si="2"/>
        <v>-23182</v>
      </c>
    </row>
    <row r="31" spans="1:16" s="11" customFormat="1" ht="15" x14ac:dyDescent="0.25">
      <c r="A31" s="28"/>
      <c r="B31" s="32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1"/>
      <c r="O31" s="11">
        <v>199790</v>
      </c>
      <c r="P31" s="19">
        <f t="shared" si="2"/>
        <v>-205380</v>
      </c>
    </row>
    <row r="32" spans="1:16" s="11" customFormat="1" ht="15" customHeight="1" x14ac:dyDescent="0.25">
      <c r="A32" s="28"/>
      <c r="B32" s="37" t="s">
        <v>20</v>
      </c>
      <c r="C32" s="39">
        <v>-5590</v>
      </c>
      <c r="D32" s="39">
        <v>-1978</v>
      </c>
      <c r="E32" s="39">
        <v>-722</v>
      </c>
      <c r="F32" s="39">
        <v>-3392</v>
      </c>
      <c r="G32" s="39">
        <v>-1215</v>
      </c>
      <c r="H32" s="39">
        <v>-3453</v>
      </c>
      <c r="I32" s="39"/>
      <c r="J32" s="39">
        <v>-5907</v>
      </c>
      <c r="K32" s="39">
        <v>-2649</v>
      </c>
      <c r="L32" s="39">
        <v>-6737</v>
      </c>
      <c r="M32" s="122">
        <f>SUM(C32:L32)</f>
        <v>-31643</v>
      </c>
      <c r="P32" s="19">
        <f t="shared" si="2"/>
        <v>-84146</v>
      </c>
    </row>
    <row r="33" spans="1:16" s="11" customFormat="1" ht="11.45" customHeight="1" x14ac:dyDescent="0.25">
      <c r="A33" s="28"/>
      <c r="B33" s="17" t="s">
        <v>21</v>
      </c>
      <c r="C33" s="39">
        <v>-84146</v>
      </c>
      <c r="D33" s="39">
        <v>-34846</v>
      </c>
      <c r="E33" s="39">
        <v>-22327</v>
      </c>
      <c r="F33" s="39">
        <v>-38050</v>
      </c>
      <c r="G33" s="39">
        <v>-11937</v>
      </c>
      <c r="H33" s="39">
        <v>-49401</v>
      </c>
      <c r="I33" s="39"/>
      <c r="J33" s="39">
        <v>-125136</v>
      </c>
      <c r="K33" s="39">
        <v>-46189</v>
      </c>
      <c r="L33" s="39">
        <v>-103529</v>
      </c>
      <c r="M33" s="122">
        <f>SUM(C33:L33)</f>
        <v>-515561</v>
      </c>
      <c r="P33" s="19">
        <f t="shared" si="2"/>
        <v>-89736</v>
      </c>
    </row>
    <row r="34" spans="1:16" s="11" customFormat="1" ht="10.5" customHeight="1" x14ac:dyDescent="0.25">
      <c r="A34" s="28"/>
      <c r="B34" s="40" t="s">
        <v>22</v>
      </c>
      <c r="C34" s="41">
        <f>SUM(C32:C33)</f>
        <v>-89736</v>
      </c>
      <c r="D34" s="41">
        <f t="shared" ref="D34:M34" si="10">SUM(D32:D33)</f>
        <v>-36824</v>
      </c>
      <c r="E34" s="41">
        <f t="shared" si="10"/>
        <v>-23049</v>
      </c>
      <c r="F34" s="41">
        <f t="shared" si="10"/>
        <v>-41442</v>
      </c>
      <c r="G34" s="41">
        <f t="shared" si="10"/>
        <v>-13152</v>
      </c>
      <c r="H34" s="41">
        <f t="shared" si="10"/>
        <v>-52854</v>
      </c>
      <c r="I34" s="41">
        <f t="shared" si="10"/>
        <v>0</v>
      </c>
      <c r="J34" s="41">
        <f t="shared" si="10"/>
        <v>-131043</v>
      </c>
      <c r="K34" s="41">
        <f t="shared" si="10"/>
        <v>-48838</v>
      </c>
      <c r="L34" s="41">
        <f t="shared" si="10"/>
        <v>-110266</v>
      </c>
      <c r="M34" s="128">
        <f t="shared" si="10"/>
        <v>-547204</v>
      </c>
      <c r="O34" s="11">
        <v>-6747</v>
      </c>
      <c r="P34" s="19">
        <f t="shared" si="2"/>
        <v>6747</v>
      </c>
    </row>
    <row r="35" spans="1:16" s="11" customFormat="1" ht="12.75" customHeight="1" x14ac:dyDescent="0.25">
      <c r="A35" s="28"/>
      <c r="B35" s="1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127"/>
      <c r="O35" s="11">
        <v>-78601</v>
      </c>
      <c r="P35" s="19">
        <f t="shared" si="2"/>
        <v>219389</v>
      </c>
    </row>
    <row r="36" spans="1:16" s="11" customFormat="1" ht="15" x14ac:dyDescent="0.25">
      <c r="A36" s="28"/>
      <c r="B36" s="40" t="s">
        <v>23</v>
      </c>
      <c r="C36" s="35">
        <f t="shared" ref="C36:M36" si="11">C29+C34</f>
        <v>140788</v>
      </c>
      <c r="D36" s="35">
        <f t="shared" si="11"/>
        <v>22438</v>
      </c>
      <c r="E36" s="35">
        <f t="shared" si="11"/>
        <v>-3819</v>
      </c>
      <c r="F36" s="35">
        <f t="shared" si="11"/>
        <v>42382</v>
      </c>
      <c r="G36" s="35">
        <f t="shared" si="11"/>
        <v>-27633</v>
      </c>
      <c r="H36" s="35">
        <f t="shared" si="11"/>
        <v>54446</v>
      </c>
      <c r="I36" s="35">
        <f t="shared" si="11"/>
        <v>0</v>
      </c>
      <c r="J36" s="35">
        <f t="shared" si="11"/>
        <v>84631</v>
      </c>
      <c r="K36" s="35">
        <f t="shared" si="11"/>
        <v>15709</v>
      </c>
      <c r="L36" s="35">
        <f t="shared" si="11"/>
        <v>32585</v>
      </c>
      <c r="M36" s="129">
        <f t="shared" si="11"/>
        <v>361527</v>
      </c>
      <c r="O36" s="11">
        <v>-85348</v>
      </c>
      <c r="P36" s="19">
        <f t="shared" si="2"/>
        <v>85348</v>
      </c>
    </row>
    <row r="37" spans="1:16" s="11" customFormat="1" ht="15" x14ac:dyDescent="0.25">
      <c r="A37" s="28"/>
      <c r="B37" s="40" t="s">
        <v>24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f>'[2]IS, BS &amp; Ratios Dec 20.'!K44+'[2]IS, Q March 21'!K44</f>
        <v>0</v>
      </c>
      <c r="M37" s="122">
        <f>SUM(C37:L37)</f>
        <v>0</v>
      </c>
      <c r="P37" s="19">
        <f t="shared" si="2"/>
        <v>140788</v>
      </c>
    </row>
    <row r="38" spans="1:16" s="11" customFormat="1" ht="15" x14ac:dyDescent="0.25">
      <c r="A38" s="28"/>
      <c r="B38" s="40" t="s">
        <v>25</v>
      </c>
      <c r="C38" s="21">
        <f>SUM(C36:C37)</f>
        <v>140788</v>
      </c>
      <c r="D38" s="21">
        <f t="shared" ref="D38:L38" si="12">SUM(D36:D37)</f>
        <v>22438</v>
      </c>
      <c r="E38" s="21">
        <f t="shared" si="12"/>
        <v>-3819</v>
      </c>
      <c r="F38" s="21">
        <f t="shared" si="12"/>
        <v>42382</v>
      </c>
      <c r="G38" s="21">
        <f t="shared" si="12"/>
        <v>-27633</v>
      </c>
      <c r="H38" s="21">
        <f t="shared" si="12"/>
        <v>54446</v>
      </c>
      <c r="I38" s="21">
        <f t="shared" si="12"/>
        <v>0</v>
      </c>
      <c r="J38" s="21">
        <f t="shared" si="12"/>
        <v>84631</v>
      </c>
      <c r="K38" s="21">
        <f t="shared" si="12"/>
        <v>15709</v>
      </c>
      <c r="L38" s="21">
        <f t="shared" si="12"/>
        <v>32585</v>
      </c>
      <c r="M38" s="122">
        <f>SUM(C38:L38)</f>
        <v>361527</v>
      </c>
      <c r="O38" s="11">
        <v>114442</v>
      </c>
      <c r="P38" s="19">
        <f t="shared" si="2"/>
        <v>-156678</v>
      </c>
    </row>
    <row r="39" spans="1:16" ht="15" x14ac:dyDescent="0.25">
      <c r="A39" s="28"/>
      <c r="B39" s="17" t="s">
        <v>26</v>
      </c>
      <c r="C39" s="26">
        <v>-42236</v>
      </c>
      <c r="D39" s="26">
        <v>-6731</v>
      </c>
      <c r="E39" s="26"/>
      <c r="F39" s="26">
        <v>-15100</v>
      </c>
      <c r="G39" s="26">
        <v>0</v>
      </c>
      <c r="H39" s="26">
        <v>-16334</v>
      </c>
      <c r="I39" s="26"/>
      <c r="J39" s="26"/>
      <c r="K39" s="26">
        <v>-4500</v>
      </c>
      <c r="L39" s="26"/>
      <c r="M39" s="122">
        <f>SUM(C39:L39)</f>
        <v>-84901</v>
      </c>
      <c r="P39" s="19">
        <f t="shared" si="2"/>
        <v>98552</v>
      </c>
    </row>
    <row r="40" spans="1:16" s="11" customFormat="1" ht="15" x14ac:dyDescent="0.25">
      <c r="A40" s="28"/>
      <c r="B40" s="40" t="s">
        <v>27</v>
      </c>
      <c r="C40" s="43">
        <f>SUM(C38:C39)</f>
        <v>98552</v>
      </c>
      <c r="D40" s="43">
        <f t="shared" ref="D40:M40" si="13">SUM(D38:D39)</f>
        <v>15707</v>
      </c>
      <c r="E40" s="43">
        <f t="shared" si="13"/>
        <v>-3819</v>
      </c>
      <c r="F40" s="43">
        <f t="shared" si="13"/>
        <v>27282</v>
      </c>
      <c r="G40" s="43">
        <f t="shared" si="13"/>
        <v>-27633</v>
      </c>
      <c r="H40" s="43">
        <f t="shared" si="13"/>
        <v>38112</v>
      </c>
      <c r="I40" s="43">
        <f t="shared" si="13"/>
        <v>0</v>
      </c>
      <c r="J40" s="43">
        <f t="shared" si="13"/>
        <v>84631</v>
      </c>
      <c r="K40" s="43">
        <f>SUM(K38:K39)</f>
        <v>11209</v>
      </c>
      <c r="L40" s="43">
        <f t="shared" si="13"/>
        <v>32585</v>
      </c>
      <c r="M40" s="130">
        <f t="shared" si="13"/>
        <v>276626</v>
      </c>
      <c r="O40" s="11">
        <v>114442</v>
      </c>
      <c r="P40" s="19">
        <f t="shared" si="2"/>
        <v>-114442</v>
      </c>
    </row>
    <row r="41" spans="1:16" s="11" customFormat="1" ht="15" x14ac:dyDescent="0.25">
      <c r="A41" s="28"/>
      <c r="B41" s="40"/>
      <c r="C41" s="303"/>
      <c r="D41" s="45"/>
      <c r="E41" s="45"/>
      <c r="F41" s="301"/>
      <c r="G41" s="301"/>
      <c r="H41" s="45"/>
      <c r="I41" s="45"/>
      <c r="J41" s="301"/>
      <c r="K41" s="45"/>
      <c r="L41" s="261"/>
      <c r="M41" s="129"/>
      <c r="O41" s="11">
        <v>-34663</v>
      </c>
      <c r="P41" s="19">
        <f t="shared" si="2"/>
        <v>34663</v>
      </c>
    </row>
    <row r="42" spans="1:16" s="11" customFormat="1" ht="15" x14ac:dyDescent="0.25">
      <c r="A42" s="28"/>
      <c r="B42" s="32"/>
      <c r="D42" s="47"/>
      <c r="I42" s="47"/>
      <c r="J42" s="47"/>
      <c r="K42" s="47"/>
      <c r="L42" s="47"/>
      <c r="M42" s="131"/>
      <c r="O42" s="11">
        <v>79779</v>
      </c>
      <c r="P42" s="19">
        <f t="shared" si="2"/>
        <v>-79779</v>
      </c>
    </row>
    <row r="43" spans="1:16" s="11" customFormat="1" ht="15.75" thickBot="1" x14ac:dyDescent="0.3">
      <c r="A43" s="28"/>
      <c r="B43" s="49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17"/>
    </row>
    <row r="44" spans="1:16" s="11" customFormat="1" ht="15.75" thickTop="1" x14ac:dyDescent="0.25">
      <c r="A44" s="28"/>
      <c r="B44" s="50"/>
      <c r="C44" s="16">
        <f>C11</f>
        <v>46203</v>
      </c>
      <c r="D44" s="16">
        <f>C44</f>
        <v>46203</v>
      </c>
      <c r="E44" s="16">
        <f t="shared" ref="E44:L44" si="14">D44</f>
        <v>46203</v>
      </c>
      <c r="F44" s="16">
        <f t="shared" si="14"/>
        <v>46203</v>
      </c>
      <c r="G44" s="16">
        <f t="shared" si="14"/>
        <v>46203</v>
      </c>
      <c r="H44" s="16">
        <f t="shared" si="14"/>
        <v>46203</v>
      </c>
      <c r="I44" s="16">
        <f t="shared" si="14"/>
        <v>46203</v>
      </c>
      <c r="J44" s="16">
        <f t="shared" si="14"/>
        <v>46203</v>
      </c>
      <c r="K44" s="16">
        <f t="shared" si="14"/>
        <v>46203</v>
      </c>
      <c r="L44" s="16">
        <f t="shared" si="14"/>
        <v>46203</v>
      </c>
      <c r="M44" s="119">
        <f>L44</f>
        <v>46203</v>
      </c>
    </row>
    <row r="45" spans="1:16" s="11" customFormat="1" ht="15" x14ac:dyDescent="0.25">
      <c r="A45" s="28"/>
      <c r="B45" s="50"/>
      <c r="C45" s="18" t="s">
        <v>5</v>
      </c>
      <c r="D45" s="18" t="s">
        <v>5</v>
      </c>
      <c r="E45" s="18" t="s">
        <v>5</v>
      </c>
      <c r="F45" s="18" t="s">
        <v>5</v>
      </c>
      <c r="G45" s="18" t="s">
        <v>5</v>
      </c>
      <c r="H45" s="18" t="s">
        <v>5</v>
      </c>
      <c r="I45" s="18" t="s">
        <v>5</v>
      </c>
      <c r="J45" s="18" t="s">
        <v>5</v>
      </c>
      <c r="K45" s="18" t="s">
        <v>5</v>
      </c>
      <c r="L45" s="18" t="s">
        <v>5</v>
      </c>
      <c r="M45" s="120" t="s">
        <v>5</v>
      </c>
    </row>
    <row r="46" spans="1:16" s="11" customFormat="1" ht="18.75" customHeight="1" x14ac:dyDescent="0.25">
      <c r="A46" s="28"/>
      <c r="B46" s="32" t="s">
        <v>29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32"/>
    </row>
    <row r="47" spans="1:16" s="11" customFormat="1" ht="13.5" customHeight="1" x14ac:dyDescent="0.25">
      <c r="A47" s="28"/>
      <c r="B47" s="34" t="s">
        <v>72</v>
      </c>
      <c r="C47" s="39">
        <v>616637</v>
      </c>
      <c r="D47" s="39">
        <v>133585</v>
      </c>
      <c r="E47" s="39">
        <v>85534</v>
      </c>
      <c r="F47" s="39">
        <v>329116</v>
      </c>
      <c r="G47" s="39">
        <v>44854</v>
      </c>
      <c r="H47" s="39">
        <v>120577</v>
      </c>
      <c r="I47" s="39"/>
      <c r="J47" s="39">
        <f>895722-J48</f>
        <v>462721</v>
      </c>
      <c r="K47" s="39">
        <v>39153</v>
      </c>
      <c r="L47" s="39">
        <v>564511</v>
      </c>
      <c r="M47" s="122">
        <f t="shared" ref="M47:M53" si="15">SUM(C47:L47)</f>
        <v>2396688</v>
      </c>
    </row>
    <row r="48" spans="1:16" s="11" customFormat="1" ht="13.5" customHeight="1" x14ac:dyDescent="0.25">
      <c r="A48" s="28"/>
      <c r="B48" s="34" t="s">
        <v>183</v>
      </c>
      <c r="C48" s="39"/>
      <c r="D48" s="39">
        <v>114322</v>
      </c>
      <c r="E48" s="39">
        <v>16777</v>
      </c>
      <c r="F48" s="39"/>
      <c r="G48" s="39"/>
      <c r="H48" s="39">
        <f>280800</f>
        <v>280800</v>
      </c>
      <c r="I48" s="39"/>
      <c r="J48" s="39">
        <v>433001</v>
      </c>
      <c r="K48" s="39"/>
      <c r="L48" s="39">
        <f>633857</f>
        <v>633857</v>
      </c>
      <c r="M48" s="122">
        <f t="shared" si="15"/>
        <v>1478757</v>
      </c>
    </row>
    <row r="49" spans="1:13" s="11" customFormat="1" ht="13.5" customHeight="1" x14ac:dyDescent="0.25">
      <c r="A49" s="28"/>
      <c r="B49" s="34" t="s">
        <v>74</v>
      </c>
      <c r="C49" s="39">
        <v>3912125</v>
      </c>
      <c r="D49" s="39">
        <v>492402</v>
      </c>
      <c r="E49" s="39">
        <v>232439</v>
      </c>
      <c r="F49" s="39">
        <v>950343</v>
      </c>
      <c r="G49" s="39">
        <v>168718</v>
      </c>
      <c r="H49" s="39">
        <v>1259747</v>
      </c>
      <c r="I49" s="39"/>
      <c r="J49" s="39">
        <v>2253761</v>
      </c>
      <c r="K49" s="39">
        <v>440140</v>
      </c>
      <c r="L49" s="39">
        <v>2728660</v>
      </c>
      <c r="M49" s="122">
        <f t="shared" si="15"/>
        <v>12438335</v>
      </c>
    </row>
    <row r="50" spans="1:13" ht="15" x14ac:dyDescent="0.25">
      <c r="A50" s="28"/>
      <c r="B50" s="34" t="s">
        <v>75</v>
      </c>
      <c r="C50" s="39"/>
      <c r="D50" s="39"/>
      <c r="E50" s="39">
        <v>-37319</v>
      </c>
      <c r="F50" s="39">
        <v>-59205</v>
      </c>
      <c r="G50" s="39"/>
      <c r="H50" s="39"/>
      <c r="I50" s="39"/>
      <c r="J50" s="39"/>
      <c r="K50" s="39">
        <v>-6612</v>
      </c>
      <c r="L50" s="39"/>
      <c r="M50" s="122">
        <f t="shared" si="15"/>
        <v>-103136</v>
      </c>
    </row>
    <row r="51" spans="1:13" ht="15" x14ac:dyDescent="0.25">
      <c r="A51" s="28"/>
      <c r="B51" s="34" t="s">
        <v>81</v>
      </c>
      <c r="C51" s="246">
        <f>SUM(C49:C50)</f>
        <v>3912125</v>
      </c>
      <c r="D51" s="246">
        <f t="shared" ref="D51:M51" si="16">SUM(D49:D50)</f>
        <v>492402</v>
      </c>
      <c r="E51" s="246">
        <f t="shared" si="16"/>
        <v>195120</v>
      </c>
      <c r="F51" s="246">
        <f t="shared" si="16"/>
        <v>891138</v>
      </c>
      <c r="G51" s="246">
        <f t="shared" si="16"/>
        <v>168718</v>
      </c>
      <c r="H51" s="246">
        <f t="shared" si="16"/>
        <v>1259747</v>
      </c>
      <c r="I51" s="246">
        <f t="shared" si="16"/>
        <v>0</v>
      </c>
      <c r="J51" s="246">
        <f t="shared" si="16"/>
        <v>2253761</v>
      </c>
      <c r="K51" s="246">
        <f t="shared" si="16"/>
        <v>433528</v>
      </c>
      <c r="L51" s="246">
        <f t="shared" si="16"/>
        <v>2728660</v>
      </c>
      <c r="M51" s="246">
        <f t="shared" si="16"/>
        <v>12335199</v>
      </c>
    </row>
    <row r="52" spans="1:13" ht="15" x14ac:dyDescent="0.25">
      <c r="A52" s="28"/>
      <c r="B52" s="17" t="s">
        <v>77</v>
      </c>
      <c r="C52" s="39">
        <v>52464</v>
      </c>
      <c r="D52" s="39">
        <v>17287</v>
      </c>
      <c r="E52" s="39">
        <v>12562</v>
      </c>
      <c r="F52" s="39">
        <v>16199</v>
      </c>
      <c r="G52" s="39">
        <v>2379</v>
      </c>
      <c r="H52" s="39">
        <v>30287</v>
      </c>
      <c r="I52" s="39"/>
      <c r="J52" s="39">
        <v>128806</v>
      </c>
      <c r="K52" s="39">
        <v>36682</v>
      </c>
      <c r="L52" s="39">
        <v>575049</v>
      </c>
      <c r="M52" s="122">
        <f t="shared" si="15"/>
        <v>871715</v>
      </c>
    </row>
    <row r="53" spans="1:13" ht="15" outlineLevel="1" x14ac:dyDescent="0.25">
      <c r="A53" s="28"/>
      <c r="B53" s="17" t="s">
        <v>78</v>
      </c>
      <c r="C53" s="39">
        <v>154957</v>
      </c>
      <c r="D53" s="39">
        <f>82156+4978</f>
        <v>87134</v>
      </c>
      <c r="E53" s="39">
        <f>59981</f>
        <v>59981</v>
      </c>
      <c r="F53" s="39">
        <v>136092</v>
      </c>
      <c r="G53" s="39">
        <v>30370</v>
      </c>
      <c r="H53" s="39">
        <f>107958</f>
        <v>107958</v>
      </c>
      <c r="I53" s="39"/>
      <c r="J53" s="39">
        <v>458966</v>
      </c>
      <c r="K53" s="39">
        <v>43518</v>
      </c>
      <c r="L53" s="39">
        <f>220299</f>
        <v>220299</v>
      </c>
      <c r="M53" s="122">
        <f t="shared" si="15"/>
        <v>1299275</v>
      </c>
    </row>
    <row r="54" spans="1:13" ht="13.5" thickBot="1" x14ac:dyDescent="0.3">
      <c r="B54" s="32" t="s">
        <v>30</v>
      </c>
      <c r="C54" s="51">
        <f t="shared" ref="C54:M54" si="17">SUM(C47:C48)+C51+C52+C53</f>
        <v>4736183</v>
      </c>
      <c r="D54" s="51">
        <f t="shared" si="17"/>
        <v>844730</v>
      </c>
      <c r="E54" s="51">
        <f t="shared" si="17"/>
        <v>369974</v>
      </c>
      <c r="F54" s="51">
        <f t="shared" si="17"/>
        <v>1372545</v>
      </c>
      <c r="G54" s="51">
        <f t="shared" si="17"/>
        <v>246321</v>
      </c>
      <c r="H54" s="51">
        <f t="shared" si="17"/>
        <v>1799369</v>
      </c>
      <c r="I54" s="51">
        <f t="shared" si="17"/>
        <v>0</v>
      </c>
      <c r="J54" s="51">
        <f t="shared" si="17"/>
        <v>3737255</v>
      </c>
      <c r="K54" s="51">
        <f t="shared" si="17"/>
        <v>552881</v>
      </c>
      <c r="L54" s="51">
        <f t="shared" si="17"/>
        <v>4722376</v>
      </c>
      <c r="M54" s="51">
        <f t="shared" si="17"/>
        <v>18381634</v>
      </c>
    </row>
    <row r="55" spans="1:13" ht="13.5" thickTop="1" x14ac:dyDescent="0.25">
      <c r="B55" s="1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23"/>
    </row>
    <row r="56" spans="1:13" x14ac:dyDescent="0.25">
      <c r="B56" s="32" t="s">
        <v>31</v>
      </c>
      <c r="C56" s="48"/>
      <c r="D56" s="46"/>
      <c r="E56" s="48"/>
      <c r="F56" s="48"/>
      <c r="G56" s="48"/>
      <c r="H56" s="48">
        <v>0</v>
      </c>
      <c r="I56" s="46"/>
      <c r="J56" s="46"/>
      <c r="K56" s="46"/>
      <c r="L56" s="46"/>
      <c r="M56" s="133"/>
    </row>
    <row r="57" spans="1:13" x14ac:dyDescent="0.25">
      <c r="B57" s="32" t="s">
        <v>187</v>
      </c>
      <c r="C57" s="48">
        <f>SUM(C58:C59)</f>
        <v>840056</v>
      </c>
      <c r="D57" s="48">
        <f t="shared" ref="D57:M57" si="18">SUM(D58:D59)</f>
        <v>217601</v>
      </c>
      <c r="E57" s="48">
        <f t="shared" si="18"/>
        <v>235230</v>
      </c>
      <c r="F57" s="48">
        <f t="shared" si="18"/>
        <v>971498</v>
      </c>
      <c r="G57" s="48">
        <f t="shared" si="18"/>
        <v>239020</v>
      </c>
      <c r="H57" s="48">
        <f t="shared" si="18"/>
        <v>933664</v>
      </c>
      <c r="I57" s="48">
        <f t="shared" si="18"/>
        <v>0</v>
      </c>
      <c r="J57" s="48">
        <f t="shared" si="18"/>
        <v>2588866</v>
      </c>
      <c r="K57" s="48">
        <f t="shared" si="18"/>
        <v>52519</v>
      </c>
      <c r="L57" s="48">
        <f t="shared" si="18"/>
        <v>2150472</v>
      </c>
      <c r="M57" s="48">
        <f t="shared" si="18"/>
        <v>8228926</v>
      </c>
    </row>
    <row r="58" spans="1:13" x14ac:dyDescent="0.25">
      <c r="B58" s="17" t="s">
        <v>76</v>
      </c>
      <c r="C58" s="266"/>
      <c r="D58" s="266">
        <v>217601</v>
      </c>
      <c r="E58" s="266">
        <v>235230</v>
      </c>
      <c r="F58" s="266">
        <v>969931</v>
      </c>
      <c r="G58" s="266">
        <v>239020</v>
      </c>
      <c r="H58" s="266">
        <v>933664</v>
      </c>
      <c r="I58" s="266"/>
      <c r="J58" s="266">
        <f>1780324+415473</f>
        <v>2195797</v>
      </c>
      <c r="K58" s="266">
        <v>52519</v>
      </c>
      <c r="L58" s="266">
        <v>2150472</v>
      </c>
      <c r="M58" s="266">
        <f>SUM(C58:L58)</f>
        <v>6994234</v>
      </c>
    </row>
    <row r="59" spans="1:13" x14ac:dyDescent="0.25">
      <c r="B59" s="17" t="s">
        <v>177</v>
      </c>
      <c r="C59" s="267">
        <f>59106+780950</f>
        <v>840056</v>
      </c>
      <c r="D59" s="267"/>
      <c r="E59" s="267"/>
      <c r="F59" s="267">
        <v>1567</v>
      </c>
      <c r="G59" s="267"/>
      <c r="H59" s="267"/>
      <c r="I59" s="267"/>
      <c r="J59" s="267">
        <v>393069</v>
      </c>
      <c r="K59" s="267"/>
      <c r="L59" s="267"/>
      <c r="M59" s="267">
        <f>SUM(C59:L59)</f>
        <v>1234692</v>
      </c>
    </row>
    <row r="60" spans="1:13" x14ac:dyDescent="0.25">
      <c r="B60" s="17" t="s">
        <v>185</v>
      </c>
      <c r="C60" s="262"/>
      <c r="D60" s="262">
        <v>48100</v>
      </c>
      <c r="E60" s="262"/>
      <c r="F60" s="262"/>
      <c r="G60" s="262"/>
      <c r="H60" s="262">
        <v>56000</v>
      </c>
      <c r="I60" s="262"/>
      <c r="J60" s="262"/>
      <c r="K60" s="262"/>
      <c r="L60" s="262">
        <v>326100</v>
      </c>
      <c r="M60" s="122">
        <f t="shared" ref="M60:M65" si="19">SUM(C60:L60)</f>
        <v>430200</v>
      </c>
    </row>
    <row r="61" spans="1:13" x14ac:dyDescent="0.25">
      <c r="B61" s="17" t="s">
        <v>79</v>
      </c>
      <c r="C61" s="26">
        <v>1043562</v>
      </c>
      <c r="D61" s="26"/>
      <c r="E61" s="26"/>
      <c r="F61" s="26"/>
      <c r="G61" s="26">
        <v>9140</v>
      </c>
      <c r="H61" s="26">
        <v>87036</v>
      </c>
      <c r="I61" s="26"/>
      <c r="J61" s="26"/>
      <c r="K61" s="26">
        <v>32813</v>
      </c>
      <c r="L61" s="26">
        <v>198930</v>
      </c>
      <c r="M61" s="122">
        <f t="shared" si="19"/>
        <v>1371481</v>
      </c>
    </row>
    <row r="62" spans="1:13" x14ac:dyDescent="0.25">
      <c r="B62" s="17" t="s">
        <v>182</v>
      </c>
      <c r="C62" s="26">
        <v>374838</v>
      </c>
      <c r="D62" s="26">
        <v>301619</v>
      </c>
      <c r="E62" s="26">
        <v>26106</v>
      </c>
      <c r="F62" s="26"/>
      <c r="G62" s="26"/>
      <c r="H62" s="26"/>
      <c r="I62" s="26"/>
      <c r="J62" s="26"/>
      <c r="K62" s="26">
        <v>146025</v>
      </c>
      <c r="L62" s="26">
        <v>470051</v>
      </c>
      <c r="M62" s="122">
        <f t="shared" si="19"/>
        <v>1318639</v>
      </c>
    </row>
    <row r="63" spans="1:13" x14ac:dyDescent="0.25">
      <c r="B63" s="37" t="s">
        <v>80</v>
      </c>
      <c r="C63" s="26">
        <v>381920</v>
      </c>
      <c r="D63" s="26">
        <f>76492-1</f>
        <v>76491</v>
      </c>
      <c r="E63" s="26">
        <f>27987+1000-1</f>
        <v>28986</v>
      </c>
      <c r="F63" s="26">
        <v>139432</v>
      </c>
      <c r="G63" s="26">
        <v>16531</v>
      </c>
      <c r="H63" s="26">
        <f>122664+1</f>
        <v>122665</v>
      </c>
      <c r="I63" s="26"/>
      <c r="J63" s="26">
        <v>539092</v>
      </c>
      <c r="K63" s="26">
        <f>113970-1</f>
        <v>113969</v>
      </c>
      <c r="L63" s="26">
        <v>162721</v>
      </c>
      <c r="M63" s="122">
        <f>SUM(C63:L63)</f>
        <v>1581807</v>
      </c>
    </row>
    <row r="64" spans="1:13" ht="13.5" customHeight="1" x14ac:dyDescent="0.25">
      <c r="B64" s="17" t="s">
        <v>32</v>
      </c>
      <c r="C64" s="26">
        <v>137150</v>
      </c>
      <c r="D64" s="26"/>
      <c r="E64" s="26">
        <f>21668</f>
        <v>21668</v>
      </c>
      <c r="F64" s="26"/>
      <c r="G64" s="26">
        <v>7500</v>
      </c>
      <c r="H64" s="26"/>
      <c r="I64" s="26"/>
      <c r="J64" s="26"/>
      <c r="K64" s="26">
        <v>86045</v>
      </c>
      <c r="L64" s="26"/>
      <c r="M64" s="122">
        <f t="shared" si="19"/>
        <v>252363</v>
      </c>
    </row>
    <row r="65" spans="2:13" x14ac:dyDescent="0.25">
      <c r="B65" s="37" t="s">
        <v>179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122">
        <f t="shared" si="19"/>
        <v>0</v>
      </c>
    </row>
    <row r="66" spans="2:13" x14ac:dyDescent="0.25">
      <c r="B66" s="32" t="s">
        <v>33</v>
      </c>
      <c r="C66" s="55">
        <f>SUM(C60:C65)+C57</f>
        <v>2777526</v>
      </c>
      <c r="D66" s="55">
        <f t="shared" ref="D66:M66" si="20">SUM(D60:D65)+D57</f>
        <v>643811</v>
      </c>
      <c r="E66" s="55">
        <f t="shared" si="20"/>
        <v>311990</v>
      </c>
      <c r="F66" s="55">
        <f t="shared" si="20"/>
        <v>1110930</v>
      </c>
      <c r="G66" s="55">
        <f t="shared" si="20"/>
        <v>272191</v>
      </c>
      <c r="H66" s="55">
        <f t="shared" si="20"/>
        <v>1199365</v>
      </c>
      <c r="I66" s="55">
        <f t="shared" si="20"/>
        <v>0</v>
      </c>
      <c r="J66" s="55">
        <f t="shared" si="20"/>
        <v>3127958</v>
      </c>
      <c r="K66" s="55">
        <f t="shared" si="20"/>
        <v>431371</v>
      </c>
      <c r="L66" s="55">
        <f t="shared" si="20"/>
        <v>3308274</v>
      </c>
      <c r="M66" s="55">
        <f t="shared" si="20"/>
        <v>13183416</v>
      </c>
    </row>
    <row r="67" spans="2:13" x14ac:dyDescent="0.25">
      <c r="B67" s="17"/>
      <c r="M67" s="122">
        <f t="shared" ref="M67:M74" si="21">SUM(C67:L67)</f>
        <v>0</v>
      </c>
    </row>
    <row r="68" spans="2:13" x14ac:dyDescent="0.25">
      <c r="B68" s="17" t="s">
        <v>34</v>
      </c>
      <c r="C68" s="57">
        <v>2425</v>
      </c>
      <c r="D68" s="57">
        <v>35691</v>
      </c>
      <c r="E68" s="57">
        <v>123771</v>
      </c>
      <c r="F68" s="57">
        <v>40000</v>
      </c>
      <c r="G68" s="57">
        <v>4000</v>
      </c>
      <c r="H68" s="57">
        <v>15000</v>
      </c>
      <c r="I68" s="57"/>
      <c r="J68" s="57">
        <v>1038383</v>
      </c>
      <c r="K68" s="57">
        <v>49838</v>
      </c>
      <c r="L68" s="57">
        <v>191678</v>
      </c>
      <c r="M68" s="122">
        <f t="shared" si="21"/>
        <v>1500786</v>
      </c>
    </row>
    <row r="69" spans="2:13" x14ac:dyDescent="0.25">
      <c r="B69" s="17" t="s">
        <v>35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122">
        <f t="shared" si="21"/>
        <v>0</v>
      </c>
    </row>
    <row r="70" spans="2:13" x14ac:dyDescent="0.25">
      <c r="B70" s="17" t="s">
        <v>36</v>
      </c>
      <c r="C70" s="58"/>
      <c r="D70" s="58">
        <v>2824</v>
      </c>
      <c r="E70" s="58"/>
      <c r="F70" s="58">
        <v>22764</v>
      </c>
      <c r="G70" s="58">
        <v>10000</v>
      </c>
      <c r="H70" s="58"/>
      <c r="I70" s="58"/>
      <c r="J70" s="58">
        <v>-467182</v>
      </c>
      <c r="K70" s="58">
        <v>110426</v>
      </c>
      <c r="L70" s="58"/>
      <c r="M70" s="122">
        <f t="shared" si="21"/>
        <v>-321168</v>
      </c>
    </row>
    <row r="71" spans="2:13" x14ac:dyDescent="0.25">
      <c r="B71" s="17" t="s">
        <v>189</v>
      </c>
      <c r="C71" s="58">
        <v>-318</v>
      </c>
      <c r="D71" s="58"/>
      <c r="E71" s="58"/>
      <c r="F71" s="58"/>
      <c r="G71" s="58">
        <v>63743</v>
      </c>
      <c r="H71" s="58"/>
      <c r="I71" s="58"/>
      <c r="J71" s="58">
        <v>38096</v>
      </c>
      <c r="K71" s="58"/>
      <c r="L71" s="58"/>
      <c r="M71" s="122">
        <f t="shared" si="21"/>
        <v>101521</v>
      </c>
    </row>
    <row r="72" spans="2:13" x14ac:dyDescent="0.25">
      <c r="B72" s="17" t="s">
        <v>180</v>
      </c>
      <c r="C72" s="59">
        <v>-212240</v>
      </c>
      <c r="D72" s="59">
        <v>55140</v>
      </c>
      <c r="E72" s="59"/>
      <c r="F72" s="59"/>
      <c r="G72" s="59">
        <v>888</v>
      </c>
      <c r="H72" s="59"/>
      <c r="I72" s="59"/>
      <c r="J72" s="59"/>
      <c r="K72" s="59"/>
      <c r="L72" s="59">
        <f>1000+67238</f>
        <v>68238</v>
      </c>
      <c r="M72" s="122">
        <f t="shared" si="21"/>
        <v>-87974</v>
      </c>
    </row>
    <row r="73" spans="2:13" x14ac:dyDescent="0.25">
      <c r="B73" s="17" t="s">
        <v>181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122">
        <f t="shared" si="21"/>
        <v>0</v>
      </c>
    </row>
    <row r="74" spans="2:13" x14ac:dyDescent="0.25">
      <c r="B74" s="17" t="s">
        <v>37</v>
      </c>
      <c r="C74" s="58">
        <v>2168790</v>
      </c>
      <c r="D74" s="58">
        <v>107264</v>
      </c>
      <c r="E74" s="58">
        <v>-65787</v>
      </c>
      <c r="F74" s="58">
        <v>198851</v>
      </c>
      <c r="G74" s="58">
        <v>-104501</v>
      </c>
      <c r="H74" s="58">
        <v>585004</v>
      </c>
      <c r="I74" s="58"/>
      <c r="J74" s="58"/>
      <c r="K74" s="58">
        <v>-38754</v>
      </c>
      <c r="L74" s="58">
        <v>1154186</v>
      </c>
      <c r="M74" s="122">
        <f t="shared" si="21"/>
        <v>4005053</v>
      </c>
    </row>
    <row r="75" spans="2:13" ht="12" customHeight="1" x14ac:dyDescent="0.25">
      <c r="B75" s="23"/>
      <c r="C75" s="60"/>
      <c r="D75" s="19"/>
      <c r="E75" s="60"/>
      <c r="F75" s="60"/>
      <c r="G75" s="60"/>
      <c r="H75" s="60"/>
      <c r="I75" s="19"/>
      <c r="J75" s="19"/>
      <c r="K75" s="19"/>
      <c r="L75" s="19"/>
      <c r="M75" s="122">
        <f t="shared" ref="M75" si="22">C75+D75+E75+G75+H75+I75+K75+L75</f>
        <v>0</v>
      </c>
    </row>
    <row r="76" spans="2:13" x14ac:dyDescent="0.25">
      <c r="B76" s="40" t="s">
        <v>38</v>
      </c>
      <c r="C76" s="61">
        <f t="shared" ref="C76:M76" si="23">SUM(C68:C74)</f>
        <v>1958657</v>
      </c>
      <c r="D76" s="61">
        <f t="shared" si="23"/>
        <v>200919</v>
      </c>
      <c r="E76" s="61">
        <f t="shared" si="23"/>
        <v>57984</v>
      </c>
      <c r="F76" s="61">
        <f t="shared" si="23"/>
        <v>261615</v>
      </c>
      <c r="G76" s="61">
        <f t="shared" si="23"/>
        <v>-25870</v>
      </c>
      <c r="H76" s="61">
        <f t="shared" si="23"/>
        <v>600004</v>
      </c>
      <c r="I76" s="61">
        <f t="shared" si="23"/>
        <v>0</v>
      </c>
      <c r="J76" s="61">
        <f t="shared" si="23"/>
        <v>609297</v>
      </c>
      <c r="K76" s="61">
        <f t="shared" si="23"/>
        <v>121510</v>
      </c>
      <c r="L76" s="61">
        <f t="shared" si="23"/>
        <v>1414102</v>
      </c>
      <c r="M76" s="61">
        <f t="shared" si="23"/>
        <v>5198218</v>
      </c>
    </row>
    <row r="77" spans="2:13" x14ac:dyDescent="0.25">
      <c r="B77" s="17"/>
      <c r="D77" s="19"/>
      <c r="I77" s="19"/>
      <c r="J77" s="19"/>
      <c r="K77" s="19"/>
      <c r="L77" s="19"/>
      <c r="M77" s="121"/>
    </row>
    <row r="78" spans="2:13" x14ac:dyDescent="0.25">
      <c r="B78" s="32" t="s">
        <v>39</v>
      </c>
      <c r="C78" s="62">
        <f t="shared" ref="C78:M78" si="24">C66+C76</f>
        <v>4736183</v>
      </c>
      <c r="D78" s="62">
        <f t="shared" si="24"/>
        <v>844730</v>
      </c>
      <c r="E78" s="62">
        <f t="shared" si="24"/>
        <v>369974</v>
      </c>
      <c r="F78" s="62">
        <f t="shared" si="24"/>
        <v>1372545</v>
      </c>
      <c r="G78" s="62">
        <f t="shared" si="24"/>
        <v>246321</v>
      </c>
      <c r="H78" s="62">
        <f t="shared" si="24"/>
        <v>1799369</v>
      </c>
      <c r="I78" s="62">
        <f t="shared" si="24"/>
        <v>0</v>
      </c>
      <c r="J78" s="62">
        <f t="shared" si="24"/>
        <v>3737255</v>
      </c>
      <c r="K78" s="62">
        <f t="shared" si="24"/>
        <v>552881</v>
      </c>
      <c r="L78" s="62">
        <f t="shared" si="24"/>
        <v>4722376</v>
      </c>
      <c r="M78" s="62">
        <f t="shared" si="24"/>
        <v>18381634</v>
      </c>
    </row>
    <row r="79" spans="2:13" x14ac:dyDescent="0.25">
      <c r="B79" s="17"/>
      <c r="C79" s="64">
        <f t="shared" ref="C79:M79" si="25">C54-C78</f>
        <v>0</v>
      </c>
      <c r="D79" s="64">
        <f t="shared" si="25"/>
        <v>0</v>
      </c>
      <c r="E79" s="64">
        <f t="shared" si="25"/>
        <v>0</v>
      </c>
      <c r="F79" s="64">
        <f t="shared" si="25"/>
        <v>0</v>
      </c>
      <c r="G79" s="64">
        <f t="shared" si="25"/>
        <v>0</v>
      </c>
      <c r="H79" s="64">
        <f t="shared" si="25"/>
        <v>0</v>
      </c>
      <c r="I79" s="64">
        <f t="shared" si="25"/>
        <v>0</v>
      </c>
      <c r="J79" s="64">
        <f t="shared" si="25"/>
        <v>0</v>
      </c>
      <c r="K79" s="64">
        <f t="shared" si="25"/>
        <v>0</v>
      </c>
      <c r="L79" s="64">
        <f t="shared" si="25"/>
        <v>0</v>
      </c>
      <c r="M79" s="137">
        <f t="shared" si="25"/>
        <v>0</v>
      </c>
    </row>
    <row r="80" spans="2:13" x14ac:dyDescent="0.25">
      <c r="B80" s="17" t="s">
        <v>40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/>
      <c r="K80" s="58">
        <v>0</v>
      </c>
      <c r="L80" s="58">
        <v>0</v>
      </c>
      <c r="M80" s="122">
        <f>SUM(C80:L80)</f>
        <v>0</v>
      </c>
    </row>
    <row r="81" spans="2:13" x14ac:dyDescent="0.25">
      <c r="B81" s="17" t="s">
        <v>41</v>
      </c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122">
        <f>SUM(C81:L81)</f>
        <v>0</v>
      </c>
    </row>
    <row r="82" spans="2:13" ht="13.5" thickBot="1" x14ac:dyDescent="0.3">
      <c r="B82" s="40" t="s">
        <v>42</v>
      </c>
      <c r="C82" s="66">
        <f t="shared" ref="C82:M82" si="26">SUM(C80:C81)</f>
        <v>0</v>
      </c>
      <c r="D82" s="66">
        <f t="shared" si="26"/>
        <v>0</v>
      </c>
      <c r="E82" s="67">
        <f t="shared" si="26"/>
        <v>0</v>
      </c>
      <c r="F82" s="67">
        <f t="shared" si="26"/>
        <v>0</v>
      </c>
      <c r="G82" s="67">
        <f t="shared" si="26"/>
        <v>0</v>
      </c>
      <c r="H82" s="67">
        <f t="shared" si="26"/>
        <v>0</v>
      </c>
      <c r="I82" s="67">
        <f t="shared" si="26"/>
        <v>0</v>
      </c>
      <c r="J82" s="67"/>
      <c r="K82" s="67">
        <f t="shared" si="26"/>
        <v>0</v>
      </c>
      <c r="L82" s="67">
        <f t="shared" si="26"/>
        <v>0</v>
      </c>
      <c r="M82" s="138">
        <f t="shared" si="26"/>
        <v>0</v>
      </c>
    </row>
    <row r="83" spans="2:13" ht="13.5" hidden="1" thickTop="1" x14ac:dyDescent="0.25">
      <c r="B83" s="40" t="s">
        <v>43</v>
      </c>
      <c r="C83" s="65"/>
      <c r="D83" s="20"/>
      <c r="E83" s="65"/>
      <c r="F83" s="65"/>
      <c r="G83" s="65"/>
      <c r="H83" s="22"/>
      <c r="I83" s="20"/>
      <c r="J83" s="20"/>
      <c r="K83" s="20"/>
      <c r="L83" s="20"/>
      <c r="M83" s="123" t="e">
        <f>C83+D83+E83+G83+H83+I83+#REF!+K83+L83+#REF!+#REF!+#REF!+#REF!+#REF!+#REF!+#REF!+#REF!</f>
        <v>#REF!</v>
      </c>
    </row>
    <row r="84" spans="2:13" ht="13.5" hidden="1" thickTop="1" x14ac:dyDescent="0.25">
      <c r="B84" s="40" t="s">
        <v>44</v>
      </c>
      <c r="C84" s="65"/>
      <c r="D84" s="20"/>
      <c r="E84" s="65"/>
      <c r="F84" s="65"/>
      <c r="G84" s="65"/>
      <c r="H84" s="65"/>
      <c r="I84" s="20"/>
      <c r="J84" s="20"/>
      <c r="K84" s="20"/>
      <c r="L84" s="20"/>
      <c r="M84" s="123" t="e">
        <f>C84+D84+E84+G84+H84+I84+#REF!+K84+L84+#REF!+#REF!+#REF!+#REF!+#REF!+#REF!+#REF!+#REF!</f>
        <v>#REF!</v>
      </c>
    </row>
    <row r="85" spans="2:13" ht="13.5" hidden="1" thickTop="1" x14ac:dyDescent="0.25">
      <c r="B85" s="40" t="s">
        <v>45</v>
      </c>
      <c r="C85" s="20">
        <f t="shared" ref="C85:M85" si="27">SUM(C86:C87)</f>
        <v>0</v>
      </c>
      <c r="D85" s="20">
        <f t="shared" si="27"/>
        <v>0</v>
      </c>
      <c r="E85" s="20">
        <f t="shared" si="27"/>
        <v>0</v>
      </c>
      <c r="F85" s="20"/>
      <c r="G85" s="20">
        <f t="shared" si="27"/>
        <v>0</v>
      </c>
      <c r="H85" s="20">
        <f t="shared" si="27"/>
        <v>0</v>
      </c>
      <c r="I85" s="20">
        <f t="shared" si="27"/>
        <v>0</v>
      </c>
      <c r="J85" s="20"/>
      <c r="K85" s="20">
        <f t="shared" si="27"/>
        <v>0</v>
      </c>
      <c r="L85" s="20">
        <f t="shared" si="27"/>
        <v>0</v>
      </c>
      <c r="M85" s="123" t="e">
        <f t="shared" si="27"/>
        <v>#REF!</v>
      </c>
    </row>
    <row r="86" spans="2:13" ht="13.5" hidden="1" thickTop="1" x14ac:dyDescent="0.25">
      <c r="B86" s="68" t="s">
        <v>46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139" t="e">
        <f>C86+D86+E86+G86+H86+I86+#REF!+K86+L86+#REF!+#REF!+#REF!+#REF!+#REF!+#REF!+#REF!+#REF!</f>
        <v>#REF!</v>
      </c>
    </row>
    <row r="87" spans="2:13" ht="13.5" hidden="1" thickTop="1" x14ac:dyDescent="0.25">
      <c r="B87" s="68" t="s">
        <v>47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140" t="e">
        <f>C87+D87+E87+G87+H87+I87+#REF!+K87+L87+#REF!+#REF!+#REF!+#REF!+#REF!+#REF!+#REF!+#REF!</f>
        <v>#REF!</v>
      </c>
    </row>
    <row r="88" spans="2:13" ht="13.5" hidden="1" thickTop="1" x14ac:dyDescent="0.25">
      <c r="B88" s="68" t="s">
        <v>48</v>
      </c>
      <c r="C88" s="65"/>
      <c r="D88" s="20"/>
      <c r="E88" s="65"/>
      <c r="F88" s="65"/>
      <c r="G88" s="65">
        <v>0</v>
      </c>
      <c r="H88" s="65"/>
      <c r="I88" s="20"/>
      <c r="J88" s="20"/>
      <c r="K88" s="20"/>
      <c r="L88" s="20"/>
      <c r="M88" s="123"/>
    </row>
    <row r="89" spans="2:13" ht="13.5" hidden="1" thickTop="1" x14ac:dyDescent="0.25">
      <c r="B89" s="71" t="s">
        <v>49</v>
      </c>
      <c r="C89" s="65"/>
      <c r="D89" s="20"/>
      <c r="E89" s="65"/>
      <c r="F89" s="65"/>
      <c r="G89" s="65"/>
      <c r="H89" s="65"/>
      <c r="I89" s="20"/>
      <c r="J89" s="20"/>
      <c r="K89" s="20"/>
      <c r="L89" s="20"/>
      <c r="M89" s="123"/>
    </row>
    <row r="90" spans="2:13" ht="13.5" hidden="1" thickTop="1" x14ac:dyDescent="0.25">
      <c r="B90" s="3" t="s">
        <v>50</v>
      </c>
      <c r="D90" s="20"/>
      <c r="I90" s="20"/>
      <c r="J90" s="20"/>
      <c r="K90" s="20"/>
      <c r="L90" s="20"/>
      <c r="M90" s="123"/>
    </row>
    <row r="91" spans="2:13" ht="13.5" hidden="1" thickTop="1" x14ac:dyDescent="0.25">
      <c r="B91" s="72" t="s">
        <v>51</v>
      </c>
      <c r="C91" s="73"/>
      <c r="D91" s="73"/>
      <c r="E91" s="73"/>
      <c r="F91" s="73"/>
      <c r="G91" s="73"/>
      <c r="H91" s="73"/>
      <c r="I91" s="72"/>
      <c r="J91" s="72"/>
      <c r="K91" s="74"/>
      <c r="L91" s="73"/>
      <c r="M91" s="124" t="e">
        <f>C91+D91+E91+G91+H91+I91+#REF!+K91+L91+#REF!+#REF!+#REF!+#REF!+#REF!+#REF!+#REF!+#REF!</f>
        <v>#REF!</v>
      </c>
    </row>
    <row r="92" spans="2:13" ht="13.5" hidden="1" thickTop="1" x14ac:dyDescent="0.25"/>
    <row r="93" spans="2:13" ht="13.5" thickTop="1" x14ac:dyDescent="0.25">
      <c r="B93" s="56"/>
      <c r="C93" s="56"/>
      <c r="D93" s="75"/>
      <c r="E93" s="56"/>
      <c r="F93" s="56"/>
      <c r="G93" s="56"/>
      <c r="H93" s="56"/>
      <c r="I93" s="56"/>
      <c r="J93" s="56"/>
      <c r="K93" s="75"/>
      <c r="L93" s="75"/>
      <c r="M93" s="141"/>
    </row>
    <row r="94" spans="2:13" x14ac:dyDescent="0.25">
      <c r="B94" s="10" t="s">
        <v>52</v>
      </c>
      <c r="C94" s="10"/>
      <c r="D94" s="77"/>
      <c r="E94" s="10"/>
      <c r="F94" s="10"/>
      <c r="G94" s="10"/>
      <c r="H94" s="10"/>
      <c r="I94" s="77"/>
      <c r="J94" s="77"/>
      <c r="K94" s="77"/>
      <c r="L94" s="77"/>
      <c r="M94" s="142"/>
    </row>
    <row r="95" spans="2:13" x14ac:dyDescent="0.25">
      <c r="B95" s="56" t="s">
        <v>53</v>
      </c>
      <c r="C95" s="78">
        <v>5697185</v>
      </c>
      <c r="D95" s="78">
        <v>429971</v>
      </c>
      <c r="E95" s="78">
        <v>399994</v>
      </c>
      <c r="F95" s="78">
        <v>890686</v>
      </c>
      <c r="G95" s="78">
        <v>234212</v>
      </c>
      <c r="H95" s="78">
        <v>1897503</v>
      </c>
      <c r="I95" s="78"/>
      <c r="J95" s="78">
        <v>2491964</v>
      </c>
      <c r="K95" s="78">
        <v>680424</v>
      </c>
      <c r="L95" s="78">
        <v>3380819</v>
      </c>
      <c r="M95" s="122">
        <f>SUM(C95:L95)</f>
        <v>16102758</v>
      </c>
    </row>
    <row r="96" spans="2:13" x14ac:dyDescent="0.25">
      <c r="B96" s="52"/>
      <c r="C96" s="52"/>
      <c r="D96" s="79"/>
      <c r="E96" s="52"/>
      <c r="F96" s="52"/>
      <c r="G96" s="52"/>
      <c r="H96" s="52"/>
      <c r="I96" s="81"/>
      <c r="J96" s="81"/>
      <c r="K96" s="81"/>
      <c r="L96" s="81"/>
      <c r="M96" s="143"/>
    </row>
    <row r="97" spans="2:13" ht="13.5" thickBot="1" x14ac:dyDescent="0.3">
      <c r="B97" s="82" t="s">
        <v>54</v>
      </c>
      <c r="C97" s="83"/>
      <c r="D97" s="84"/>
      <c r="E97" s="83"/>
      <c r="F97" s="83"/>
      <c r="G97" s="83"/>
      <c r="H97" s="83"/>
      <c r="I97" s="84"/>
      <c r="J97" s="84"/>
      <c r="K97" s="84"/>
      <c r="L97" s="84"/>
      <c r="M97" s="144"/>
    </row>
    <row r="98" spans="2:13" x14ac:dyDescent="0.25">
      <c r="B98" s="85" t="s">
        <v>55</v>
      </c>
      <c r="C98" s="86">
        <v>1885524</v>
      </c>
      <c r="D98" s="86">
        <v>199919</v>
      </c>
      <c r="E98" s="86">
        <v>44157</v>
      </c>
      <c r="F98" s="86">
        <v>261367</v>
      </c>
      <c r="G98" s="86">
        <v>89619</v>
      </c>
      <c r="H98" s="86">
        <v>580152</v>
      </c>
      <c r="I98" s="86"/>
      <c r="J98" s="86">
        <v>558185</v>
      </c>
      <c r="K98" s="86">
        <v>114418</v>
      </c>
      <c r="L98" s="86">
        <v>1331485</v>
      </c>
      <c r="M98" s="122">
        <f>SUM(C98:L98)</f>
        <v>5064826</v>
      </c>
    </row>
    <row r="99" spans="2:13" ht="13.5" thickBot="1" x14ac:dyDescent="0.3">
      <c r="B99" s="87" t="s">
        <v>56</v>
      </c>
      <c r="C99" s="88"/>
      <c r="D99" s="88"/>
      <c r="E99" s="88"/>
      <c r="F99" s="88"/>
      <c r="G99" s="88"/>
      <c r="H99" s="88"/>
      <c r="I99" s="88"/>
      <c r="J99" s="88">
        <v>4466</v>
      </c>
      <c r="K99" s="88"/>
      <c r="L99" s="88">
        <v>26895</v>
      </c>
      <c r="M99" s="122">
        <f>SUM(C99:L99)</f>
        <v>31361</v>
      </c>
    </row>
    <row r="100" spans="2:13" ht="13.5" thickBot="1" x14ac:dyDescent="0.3">
      <c r="B100" s="89" t="s">
        <v>57</v>
      </c>
      <c r="C100" s="90">
        <f t="shared" ref="C100:M100" si="28">SUM(C98:C99)</f>
        <v>1885524</v>
      </c>
      <c r="D100" s="90">
        <f t="shared" si="28"/>
        <v>199919</v>
      </c>
      <c r="E100" s="90">
        <f t="shared" si="28"/>
        <v>44157</v>
      </c>
      <c r="F100" s="90">
        <f t="shared" si="28"/>
        <v>261367</v>
      </c>
      <c r="G100" s="90">
        <f t="shared" si="28"/>
        <v>89619</v>
      </c>
      <c r="H100" s="90">
        <f t="shared" si="28"/>
        <v>580152</v>
      </c>
      <c r="I100" s="90">
        <f t="shared" si="28"/>
        <v>0</v>
      </c>
      <c r="J100" s="90">
        <f t="shared" si="28"/>
        <v>562651</v>
      </c>
      <c r="K100" s="90">
        <f t="shared" si="28"/>
        <v>114418</v>
      </c>
      <c r="L100" s="90">
        <f t="shared" si="28"/>
        <v>1358380</v>
      </c>
      <c r="M100" s="145">
        <f t="shared" si="28"/>
        <v>5096187</v>
      </c>
    </row>
    <row r="101" spans="2:13" ht="14.45" hidden="1" customHeight="1" x14ac:dyDescent="0.25"/>
    <row r="102" spans="2:13" ht="14.45" hidden="1" customHeight="1" x14ac:dyDescent="0.25"/>
    <row r="103" spans="2:13" ht="13.9" hidden="1" customHeight="1" x14ac:dyDescent="0.25">
      <c r="B103" s="91" t="s">
        <v>58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146"/>
    </row>
    <row r="104" spans="2:13" ht="13.9" hidden="1" customHeight="1" x14ac:dyDescent="0.25">
      <c r="B104" s="93" t="s">
        <v>59</v>
      </c>
      <c r="C104" s="20" t="e">
        <f>IF(#REF!&gt;#REF!,#REF!-#REF!,0)</f>
        <v>#REF!</v>
      </c>
      <c r="D104" s="20" t="e">
        <f>IF(#REF!&gt;#REF!,#REF!-#REF!,0)</f>
        <v>#REF!</v>
      </c>
      <c r="E104" s="20" t="e">
        <f>IF(#REF!&gt;#REF!,#REF!-#REF!,0)</f>
        <v>#REF!</v>
      </c>
      <c r="F104" s="20" t="e">
        <f>IF(#REF!&gt;#REF!,#REF!-#REF!,0)</f>
        <v>#REF!</v>
      </c>
      <c r="G104" s="20" t="e">
        <f>IF(#REF!&gt;#REF!,#REF!-#REF!,0)</f>
        <v>#REF!</v>
      </c>
      <c r="H104" s="20" t="e">
        <f>IF(#REF!&gt;#REF!,#REF!-#REF!,0)</f>
        <v>#REF!</v>
      </c>
      <c r="I104" s="20" t="e">
        <f>IF(#REF!&gt;#REF!,#REF!-#REF!,0)</f>
        <v>#REF!</v>
      </c>
      <c r="J104" s="20"/>
      <c r="K104" s="20" t="e">
        <f>IF(#REF!&gt;#REF!,#REF!-#REF!,0)</f>
        <v>#REF!</v>
      </c>
      <c r="L104" s="20" t="e">
        <f>IF(#REF!&gt;#REF!,#REF!-#REF!,0)</f>
        <v>#REF!</v>
      </c>
      <c r="M104" s="123" t="e">
        <f>IF(#REF!&gt;#REF!,#REF!-#REF!,0)</f>
        <v>#REF!</v>
      </c>
    </row>
    <row r="105" spans="2:13" ht="13.9" hidden="1" customHeight="1" x14ac:dyDescent="0.25">
      <c r="B105" s="93" t="s">
        <v>60</v>
      </c>
      <c r="C105" s="94" t="e">
        <f>'[1]Scenarios and assumptions'!#REF!</f>
        <v>#REF!</v>
      </c>
      <c r="D105" s="94" t="e">
        <f>'[1]Scenarios and assumptions'!#REF!</f>
        <v>#REF!</v>
      </c>
      <c r="E105" s="94" t="e">
        <f>'[1]Scenarios and assumptions'!#REF!</f>
        <v>#REF!</v>
      </c>
      <c r="F105" s="94" t="e">
        <f>'[1]Scenarios and assumptions'!#REF!</f>
        <v>#REF!</v>
      </c>
      <c r="G105" s="94" t="e">
        <f>'[1]Scenarios and assumptions'!#REF!</f>
        <v>#REF!</v>
      </c>
      <c r="H105" s="94" t="e">
        <f>'[1]Scenarios and assumptions'!#REF!</f>
        <v>#REF!</v>
      </c>
      <c r="I105" s="94" t="str">
        <f>'[1]Scenarios and assumptions'!B36</f>
        <v>Target dividend payout ratio</v>
      </c>
      <c r="J105" s="94"/>
      <c r="K105" s="94">
        <f>'[1]Scenarios and assumptions'!H36</f>
        <v>0</v>
      </c>
      <c r="L105" s="94">
        <f>'[1]Scenarios and assumptions'!K36</f>
        <v>0</v>
      </c>
      <c r="M105" s="147">
        <f>'[1]Scenarios and assumptions'!AI36</f>
        <v>0</v>
      </c>
    </row>
    <row r="106" spans="2:13" ht="13.9" hidden="1" customHeight="1" x14ac:dyDescent="0.25">
      <c r="B106" s="93" t="s">
        <v>61</v>
      </c>
      <c r="C106" s="95" t="e">
        <f t="shared" ref="C106:M106" si="29">C104*C105</f>
        <v>#REF!</v>
      </c>
      <c r="D106" s="95" t="e">
        <f t="shared" si="29"/>
        <v>#REF!</v>
      </c>
      <c r="E106" s="95" t="e">
        <f t="shared" si="29"/>
        <v>#REF!</v>
      </c>
      <c r="F106" s="95" t="e">
        <f t="shared" si="29"/>
        <v>#REF!</v>
      </c>
      <c r="G106" s="95" t="e">
        <f t="shared" si="29"/>
        <v>#REF!</v>
      </c>
      <c r="H106" s="95" t="e">
        <f t="shared" si="29"/>
        <v>#REF!</v>
      </c>
      <c r="I106" s="95" t="e">
        <f t="shared" si="29"/>
        <v>#REF!</v>
      </c>
      <c r="J106" s="95"/>
      <c r="K106" s="95" t="e">
        <f t="shared" si="29"/>
        <v>#REF!</v>
      </c>
      <c r="L106" s="95" t="e">
        <f t="shared" si="29"/>
        <v>#REF!</v>
      </c>
      <c r="M106" s="148" t="e">
        <f t="shared" si="29"/>
        <v>#REF!</v>
      </c>
    </row>
    <row r="107" spans="2:13" ht="13.9" hidden="1" customHeight="1" x14ac:dyDescent="0.25"/>
    <row r="108" spans="2:13" ht="13.9" hidden="1" customHeight="1" x14ac:dyDescent="0.25">
      <c r="C108" s="46" t="e">
        <f>(#REF!+#REF!)/#REF!</f>
        <v>#REF!</v>
      </c>
      <c r="D108" s="46" t="e">
        <f>(#REF!+#REF!)/#REF!</f>
        <v>#REF!</v>
      </c>
      <c r="E108" s="46" t="e">
        <f>(#REF!+#REF!)/#REF!</f>
        <v>#REF!</v>
      </c>
      <c r="F108" s="46" t="e">
        <f>(#REF!+#REF!)/#REF!</f>
        <v>#REF!</v>
      </c>
      <c r="G108" s="46" t="e">
        <f>(#REF!+#REF!)/#REF!</f>
        <v>#REF!</v>
      </c>
      <c r="H108" s="46" t="e">
        <f>(#REF!+#REF!)/#REF!</f>
        <v>#REF!</v>
      </c>
      <c r="I108" s="46" t="e">
        <f>(#REF!+#REF!)/#REF!</f>
        <v>#REF!</v>
      </c>
      <c r="J108" s="46"/>
      <c r="K108" s="46" t="e">
        <f>(#REF!+#REF!)/#REF!</f>
        <v>#REF!</v>
      </c>
      <c r="L108" s="46" t="e">
        <f>(#REF!+#REF!)/#REF!</f>
        <v>#REF!</v>
      </c>
      <c r="M108" s="133" t="e">
        <f>(#REF!+#REF!)/#REF!</f>
        <v>#REF!</v>
      </c>
    </row>
    <row r="109" spans="2:13" ht="14.45" hidden="1" customHeight="1" x14ac:dyDescent="0.25"/>
    <row r="110" spans="2:13" ht="14.45" hidden="1" customHeight="1" x14ac:dyDescent="0.25">
      <c r="B110" s="96" t="s">
        <v>62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149"/>
    </row>
    <row r="111" spans="2:13" ht="14.45" hidden="1" customHeight="1" x14ac:dyDescent="0.25">
      <c r="B111" s="98" t="s">
        <v>55</v>
      </c>
      <c r="C111" s="99" t="e">
        <f>C98/#REF!</f>
        <v>#REF!</v>
      </c>
      <c r="D111" s="99" t="e">
        <f>D98/#REF!</f>
        <v>#REF!</v>
      </c>
      <c r="E111" s="99" t="e">
        <f>E98/#REF!</f>
        <v>#REF!</v>
      </c>
      <c r="F111" s="99" t="e">
        <f>F98/#REF!</f>
        <v>#REF!</v>
      </c>
      <c r="G111" s="99" t="e">
        <f>G98/#REF!</f>
        <v>#REF!</v>
      </c>
      <c r="H111" s="99" t="e">
        <f>H98/#REF!</f>
        <v>#REF!</v>
      </c>
      <c r="I111" s="99" t="e">
        <f>I98/#REF!</f>
        <v>#REF!</v>
      </c>
      <c r="J111" s="99"/>
      <c r="K111" s="99" t="e">
        <f>K98/#REF!</f>
        <v>#REF!</v>
      </c>
      <c r="L111" s="99" t="e">
        <f>L98/#REF!</f>
        <v>#REF!</v>
      </c>
      <c r="M111" s="150" t="e">
        <f>M98/#REF!</f>
        <v>#REF!</v>
      </c>
    </row>
    <row r="112" spans="2:13" ht="14.45" hidden="1" customHeight="1" x14ac:dyDescent="0.25">
      <c r="B112" s="100" t="s">
        <v>56</v>
      </c>
      <c r="C112" s="101" t="e">
        <f>C99/#REF!</f>
        <v>#REF!</v>
      </c>
      <c r="D112" s="101" t="e">
        <f>D99/#REF!</f>
        <v>#REF!</v>
      </c>
      <c r="E112" s="101" t="e">
        <f>E99/#REF!</f>
        <v>#REF!</v>
      </c>
      <c r="F112" s="101" t="e">
        <f>F99/#REF!</f>
        <v>#REF!</v>
      </c>
      <c r="G112" s="101" t="e">
        <f>G99/#REF!</f>
        <v>#REF!</v>
      </c>
      <c r="H112" s="101" t="e">
        <f>H99/#REF!</f>
        <v>#REF!</v>
      </c>
      <c r="I112" s="101" t="e">
        <f>I99/#REF!</f>
        <v>#REF!</v>
      </c>
      <c r="J112" s="101"/>
      <c r="K112" s="101" t="e">
        <f>K99/#REF!</f>
        <v>#REF!</v>
      </c>
      <c r="L112" s="101" t="e">
        <f>L99/#REF!</f>
        <v>#REF!</v>
      </c>
      <c r="M112" s="151" t="e">
        <f>M99/#REF!</f>
        <v>#REF!</v>
      </c>
    </row>
    <row r="113" spans="2:13" ht="14.45" hidden="1" customHeight="1" x14ac:dyDescent="0.25">
      <c r="B113" s="102" t="s">
        <v>57</v>
      </c>
      <c r="C113" s="103" t="e">
        <f>C100/#REF!</f>
        <v>#REF!</v>
      </c>
      <c r="D113" s="103" t="e">
        <f>D100/#REF!</f>
        <v>#REF!</v>
      </c>
      <c r="E113" s="103" t="e">
        <f>E100/#REF!</f>
        <v>#REF!</v>
      </c>
      <c r="F113" s="103" t="e">
        <f>F100/#REF!</f>
        <v>#REF!</v>
      </c>
      <c r="G113" s="103" t="e">
        <f>G100/#REF!</f>
        <v>#REF!</v>
      </c>
      <c r="H113" s="103" t="e">
        <f>H100/#REF!</f>
        <v>#REF!</v>
      </c>
      <c r="I113" s="103" t="e">
        <f>I100/#REF!</f>
        <v>#REF!</v>
      </c>
      <c r="J113" s="103"/>
      <c r="K113" s="103" t="e">
        <f>K100/#REF!</f>
        <v>#REF!</v>
      </c>
      <c r="L113" s="103" t="e">
        <f>L100/#REF!</f>
        <v>#REF!</v>
      </c>
      <c r="M113" s="152" t="e">
        <f>M100/#REF!</f>
        <v>#REF!</v>
      </c>
    </row>
    <row r="114" spans="2:13" ht="14.45" hidden="1" customHeight="1" x14ac:dyDescent="0.25"/>
    <row r="115" spans="2:13" ht="14.45" hidden="1" customHeight="1" x14ac:dyDescent="0.25"/>
    <row r="116" spans="2:13" ht="14.45" hidden="1" customHeight="1" x14ac:dyDescent="0.25">
      <c r="B116" s="96" t="s">
        <v>63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149"/>
    </row>
    <row r="117" spans="2:13" ht="14.45" hidden="1" customHeight="1" x14ac:dyDescent="0.25">
      <c r="B117" s="104" t="s">
        <v>55</v>
      </c>
      <c r="C117" s="105" t="e">
        <f>+SUM(C68:C68,C72)/#REF!</f>
        <v>#REF!</v>
      </c>
      <c r="D117" s="105" t="e">
        <f>+SUM(D68:D68,D72)/#REF!</f>
        <v>#REF!</v>
      </c>
      <c r="E117" s="105" t="e">
        <f>+SUM(E68:E68,E72)/#REF!</f>
        <v>#REF!</v>
      </c>
      <c r="F117" s="105" t="e">
        <f>+SUM(F68:F68,F72)/#REF!</f>
        <v>#REF!</v>
      </c>
      <c r="G117" s="105" t="e">
        <f>+SUM(G68:G68,G72)/#REF!</f>
        <v>#REF!</v>
      </c>
      <c r="H117" s="105" t="e">
        <f>+SUM(H68:H68,H72)/#REF!</f>
        <v>#REF!</v>
      </c>
      <c r="I117" s="105" t="e">
        <f>+SUM(I68:I68,I72)/#REF!</f>
        <v>#REF!</v>
      </c>
      <c r="J117" s="105"/>
      <c r="K117" s="105" t="e">
        <f>+SUM(K68:K68,K72)/#REF!</f>
        <v>#REF!</v>
      </c>
      <c r="L117" s="105" t="e">
        <f>+SUM(L68:L68,L72)/#REF!</f>
        <v>#REF!</v>
      </c>
      <c r="M117" s="150" t="e">
        <f>+SUM(M68:M68,M72)/#REF!</f>
        <v>#REF!</v>
      </c>
    </row>
    <row r="118" spans="2:13" ht="14.45" hidden="1" customHeight="1" x14ac:dyDescent="0.25">
      <c r="B118" s="106" t="s">
        <v>56</v>
      </c>
      <c r="C118" s="107" t="e">
        <f>SUM(C63,#REF!)/#REF!</f>
        <v>#REF!</v>
      </c>
      <c r="D118" s="107" t="e">
        <f>SUM(D63,#REF!)/#REF!</f>
        <v>#REF!</v>
      </c>
      <c r="E118" s="107" t="e">
        <f>SUM(E63,#REF!)/#REF!</f>
        <v>#REF!</v>
      </c>
      <c r="F118" s="107" t="e">
        <f>SUM(F63,#REF!)/#REF!</f>
        <v>#REF!</v>
      </c>
      <c r="G118" s="107" t="e">
        <f>SUM(G63,#REF!)/#REF!</f>
        <v>#REF!</v>
      </c>
      <c r="H118" s="107" t="e">
        <f>SUM(H63,#REF!)/#REF!</f>
        <v>#REF!</v>
      </c>
      <c r="I118" s="107" t="e">
        <f>SUM(I63,#REF!)/#REF!</f>
        <v>#REF!</v>
      </c>
      <c r="J118" s="107"/>
      <c r="K118" s="107" t="e">
        <f>SUM(K63,#REF!)/#REF!</f>
        <v>#REF!</v>
      </c>
      <c r="L118" s="107" t="e">
        <f>SUM(L63,#REF!)/#REF!</f>
        <v>#REF!</v>
      </c>
      <c r="M118" s="151" t="e">
        <f>SUM(M63,#REF!)/#REF!</f>
        <v>#REF!</v>
      </c>
    </row>
    <row r="119" spans="2:13" ht="14.45" hidden="1" customHeight="1" x14ac:dyDescent="0.25">
      <c r="B119" s="108" t="s">
        <v>57</v>
      </c>
      <c r="C119" s="109" t="e">
        <f t="shared" ref="C119:M119" si="30">+C117+C118</f>
        <v>#REF!</v>
      </c>
      <c r="D119" s="109" t="e">
        <f t="shared" si="30"/>
        <v>#REF!</v>
      </c>
      <c r="E119" s="109" t="e">
        <f t="shared" si="30"/>
        <v>#REF!</v>
      </c>
      <c r="F119" s="109" t="e">
        <f t="shared" si="30"/>
        <v>#REF!</v>
      </c>
      <c r="G119" s="109" t="e">
        <f t="shared" si="30"/>
        <v>#REF!</v>
      </c>
      <c r="H119" s="109" t="e">
        <f t="shared" si="30"/>
        <v>#REF!</v>
      </c>
      <c r="I119" s="109" t="e">
        <f t="shared" si="30"/>
        <v>#REF!</v>
      </c>
      <c r="J119" s="109"/>
      <c r="K119" s="109" t="e">
        <f t="shared" si="30"/>
        <v>#REF!</v>
      </c>
      <c r="L119" s="109" t="e">
        <f t="shared" si="30"/>
        <v>#REF!</v>
      </c>
      <c r="M119" s="152" t="e">
        <f t="shared" si="30"/>
        <v>#REF!</v>
      </c>
    </row>
    <row r="120" spans="2:13" ht="13.5" thickBot="1" x14ac:dyDescent="0.3">
      <c r="B120" s="110" t="s">
        <v>64</v>
      </c>
      <c r="C120" s="111">
        <f t="shared" ref="C120:M120" si="31">C100/C95</f>
        <v>0.33095713058291071</v>
      </c>
      <c r="D120" s="111">
        <f t="shared" si="31"/>
        <v>0.4649592646945957</v>
      </c>
      <c r="E120" s="111">
        <f t="shared" si="31"/>
        <v>0.11039415591233868</v>
      </c>
      <c r="F120" s="111">
        <f t="shared" si="31"/>
        <v>0.29344460337313039</v>
      </c>
      <c r="G120" s="111">
        <f t="shared" si="31"/>
        <v>0.38264051372261026</v>
      </c>
      <c r="H120" s="111">
        <f t="shared" si="31"/>
        <v>0.3057449711541958</v>
      </c>
      <c r="I120" s="111" t="e">
        <f t="shared" si="31"/>
        <v>#DIV/0!</v>
      </c>
      <c r="J120" s="111">
        <f t="shared" si="31"/>
        <v>0.22578616705538282</v>
      </c>
      <c r="K120" s="111">
        <f t="shared" si="31"/>
        <v>0.16815691392425899</v>
      </c>
      <c r="L120" s="111">
        <f t="shared" si="31"/>
        <v>0.40179021710419871</v>
      </c>
      <c r="M120" s="153">
        <f t="shared" si="31"/>
        <v>0.31647913978462572</v>
      </c>
    </row>
    <row r="121" spans="2:13" ht="13.5" thickBot="1" x14ac:dyDescent="0.3">
      <c r="B121" s="82" t="s">
        <v>54</v>
      </c>
      <c r="C121" s="83"/>
      <c r="D121" s="84"/>
      <c r="E121" s="83"/>
      <c r="F121" s="83"/>
      <c r="G121" s="83"/>
      <c r="H121" s="83"/>
      <c r="I121" s="84"/>
      <c r="J121" s="84"/>
      <c r="K121" s="84"/>
      <c r="L121" s="84"/>
      <c r="M121" s="144"/>
    </row>
    <row r="122" spans="2:13" x14ac:dyDescent="0.25">
      <c r="B122" s="85" t="s">
        <v>55</v>
      </c>
      <c r="C122" s="112">
        <f t="shared" ref="C122:M123" si="32">C98/C$95</f>
        <v>0.33095713058291071</v>
      </c>
      <c r="D122" s="112">
        <f t="shared" si="32"/>
        <v>0.4649592646945957</v>
      </c>
      <c r="E122" s="112">
        <f t="shared" si="32"/>
        <v>0.11039415591233868</v>
      </c>
      <c r="F122" s="112">
        <f t="shared" si="32"/>
        <v>0.29344460337313039</v>
      </c>
      <c r="G122" s="112">
        <f t="shared" si="32"/>
        <v>0.38264051372261026</v>
      </c>
      <c r="H122" s="112">
        <f t="shared" si="32"/>
        <v>0.3057449711541958</v>
      </c>
      <c r="I122" s="112" t="e">
        <f t="shared" si="32"/>
        <v>#DIV/0!</v>
      </c>
      <c r="J122" s="112">
        <f t="shared" si="32"/>
        <v>0.22399400633395988</v>
      </c>
      <c r="K122" s="112">
        <f t="shared" si="32"/>
        <v>0.16815691392425899</v>
      </c>
      <c r="L122" s="112">
        <f t="shared" si="32"/>
        <v>0.39383504411209236</v>
      </c>
      <c r="M122" s="150">
        <f t="shared" si="32"/>
        <v>0.31453158521043412</v>
      </c>
    </row>
    <row r="123" spans="2:13" x14ac:dyDescent="0.25">
      <c r="B123" s="87" t="s">
        <v>56</v>
      </c>
      <c r="C123" s="113">
        <f t="shared" si="32"/>
        <v>0</v>
      </c>
      <c r="D123" s="113">
        <f t="shared" si="32"/>
        <v>0</v>
      </c>
      <c r="E123" s="113">
        <f t="shared" si="32"/>
        <v>0</v>
      </c>
      <c r="F123" s="113">
        <f t="shared" si="32"/>
        <v>0</v>
      </c>
      <c r="G123" s="113">
        <f t="shared" si="32"/>
        <v>0</v>
      </c>
      <c r="H123" s="113">
        <f t="shared" si="32"/>
        <v>0</v>
      </c>
      <c r="I123" s="113" t="e">
        <f t="shared" si="32"/>
        <v>#DIV/0!</v>
      </c>
      <c r="J123" s="113">
        <f t="shared" si="32"/>
        <v>1.7921607214229419E-3</v>
      </c>
      <c r="K123" s="113">
        <f t="shared" si="32"/>
        <v>0</v>
      </c>
      <c r="L123" s="113">
        <f t="shared" si="32"/>
        <v>7.9551729921063501E-3</v>
      </c>
      <c r="M123" s="151">
        <f t="shared" si="32"/>
        <v>1.9475545741915764E-3</v>
      </c>
    </row>
    <row r="124" spans="2:13" ht="16.899999999999999" customHeight="1" thickBot="1" x14ac:dyDescent="0.3">
      <c r="B124" s="89" t="s">
        <v>57</v>
      </c>
      <c r="C124" s="114">
        <f>SUM(C122:C123)</f>
        <v>0.33095713058291071</v>
      </c>
      <c r="D124" s="114">
        <f t="shared" ref="D124:M124" si="33">SUM(D122:D123)</f>
        <v>0.4649592646945957</v>
      </c>
      <c r="E124" s="114">
        <f t="shared" si="33"/>
        <v>0.11039415591233868</v>
      </c>
      <c r="F124" s="114">
        <f t="shared" si="33"/>
        <v>0.29344460337313039</v>
      </c>
      <c r="G124" s="114">
        <f t="shared" si="33"/>
        <v>0.38264051372261026</v>
      </c>
      <c r="H124" s="114">
        <f t="shared" si="33"/>
        <v>0.3057449711541958</v>
      </c>
      <c r="I124" s="114" t="e">
        <f t="shared" si="33"/>
        <v>#DIV/0!</v>
      </c>
      <c r="J124" s="114">
        <f t="shared" si="33"/>
        <v>0.22578616705538282</v>
      </c>
      <c r="K124" s="114">
        <f t="shared" si="33"/>
        <v>0.16815691392425899</v>
      </c>
      <c r="L124" s="114">
        <f t="shared" si="33"/>
        <v>0.40179021710419871</v>
      </c>
      <c r="M124" s="154">
        <f t="shared" si="33"/>
        <v>0.31647913978462572</v>
      </c>
    </row>
    <row r="125" spans="2:13" ht="16.899999999999999" customHeight="1" x14ac:dyDescent="0.25">
      <c r="B125" s="3" t="s">
        <v>148</v>
      </c>
      <c r="C125" s="184">
        <v>2500</v>
      </c>
      <c r="D125" s="184">
        <v>2500</v>
      </c>
      <c r="E125" s="184">
        <v>2500</v>
      </c>
      <c r="F125" s="184">
        <v>50000</v>
      </c>
      <c r="G125" s="184">
        <v>2500</v>
      </c>
      <c r="H125" s="184">
        <v>2500</v>
      </c>
      <c r="I125" s="184">
        <v>2500</v>
      </c>
      <c r="J125" s="184">
        <v>50000</v>
      </c>
      <c r="K125" s="184">
        <v>2500</v>
      </c>
      <c r="L125" s="184">
        <v>50000</v>
      </c>
      <c r="M125" s="183"/>
    </row>
    <row r="126" spans="2:13" ht="16.899999999999999" customHeight="1" x14ac:dyDescent="0.25">
      <c r="B126" s="3" t="s">
        <v>150</v>
      </c>
      <c r="C126" s="184">
        <f>0.15*C95</f>
        <v>854577.75</v>
      </c>
      <c r="D126" s="184">
        <f t="shared" ref="D126:K126" si="34">0.15*D95</f>
        <v>64495.649999999994</v>
      </c>
      <c r="E126" s="184">
        <f t="shared" si="34"/>
        <v>59999.1</v>
      </c>
      <c r="F126" s="184">
        <f t="shared" si="34"/>
        <v>133602.9</v>
      </c>
      <c r="G126" s="184">
        <f t="shared" si="34"/>
        <v>35131.799999999996</v>
      </c>
      <c r="H126" s="184">
        <f t="shared" si="34"/>
        <v>284625.45</v>
      </c>
      <c r="I126" s="184">
        <f t="shared" si="34"/>
        <v>0</v>
      </c>
      <c r="J126" s="184">
        <f>0.1*J95</f>
        <v>249196.40000000002</v>
      </c>
      <c r="K126" s="184">
        <f t="shared" si="34"/>
        <v>102063.59999999999</v>
      </c>
      <c r="L126" s="184">
        <f>0.1*L95</f>
        <v>338081.9</v>
      </c>
      <c r="M126" s="183"/>
    </row>
    <row r="127" spans="2:13" ht="16.899999999999999" customHeight="1" x14ac:dyDescent="0.25">
      <c r="B127" s="3" t="s">
        <v>149</v>
      </c>
      <c r="C127" s="184">
        <f>IF(C125&gt;C126,C100-C125,C100-C126)</f>
        <v>1030946.25</v>
      </c>
      <c r="D127" s="184">
        <f t="shared" ref="D127:L127" si="35">IF(D125&gt;D126,D100-D125,D100-D126)</f>
        <v>135423.35</v>
      </c>
      <c r="E127" s="184">
        <f t="shared" si="35"/>
        <v>-15842.099999999999</v>
      </c>
      <c r="F127" s="184">
        <f t="shared" si="35"/>
        <v>127764.1</v>
      </c>
      <c r="G127" s="184">
        <f t="shared" si="35"/>
        <v>54487.200000000004</v>
      </c>
      <c r="H127" s="184">
        <f t="shared" si="35"/>
        <v>295526.55</v>
      </c>
      <c r="I127" s="184">
        <f t="shared" si="35"/>
        <v>-2500</v>
      </c>
      <c r="J127" s="184">
        <f t="shared" si="35"/>
        <v>313454.59999999998</v>
      </c>
      <c r="K127" s="184">
        <f t="shared" si="35"/>
        <v>12354.400000000009</v>
      </c>
      <c r="L127" s="184">
        <f t="shared" si="35"/>
        <v>1020298.1</v>
      </c>
      <c r="M127" s="183"/>
    </row>
    <row r="128" spans="2:13" ht="16.899999999999999" customHeight="1" x14ac:dyDescent="0.25"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3"/>
    </row>
    <row r="129" spans="2:13" ht="16.899999999999999" customHeight="1" x14ac:dyDescent="0.25">
      <c r="B129" s="181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3"/>
    </row>
    <row r="131" spans="2:13" x14ac:dyDescent="0.25">
      <c r="B131" s="160" t="s">
        <v>110</v>
      </c>
    </row>
    <row r="132" spans="2:13" x14ac:dyDescent="0.25">
      <c r="B132" s="157" t="s">
        <v>87</v>
      </c>
    </row>
    <row r="133" spans="2:13" x14ac:dyDescent="0.25">
      <c r="B133" s="158" t="s">
        <v>88</v>
      </c>
    </row>
    <row r="134" spans="2:13" x14ac:dyDescent="0.25">
      <c r="B134" s="158" t="s">
        <v>89</v>
      </c>
    </row>
    <row r="135" spans="2:13" x14ac:dyDescent="0.25">
      <c r="B135" s="158" t="s">
        <v>111</v>
      </c>
    </row>
    <row r="136" spans="2:13" x14ac:dyDescent="0.25">
      <c r="B136" s="158" t="s">
        <v>112</v>
      </c>
    </row>
    <row r="137" spans="2:13" x14ac:dyDescent="0.25">
      <c r="B137" s="159" t="s">
        <v>90</v>
      </c>
    </row>
    <row r="138" spans="2:13" x14ac:dyDescent="0.25">
      <c r="B138" s="160" t="s">
        <v>91</v>
      </c>
    </row>
    <row r="139" spans="2:13" x14ac:dyDescent="0.25">
      <c r="B139" s="157" t="s">
        <v>92</v>
      </c>
      <c r="C139" s="290">
        <f t="shared" ref="C139:M139" si="36">-C34/(C21+C25)</f>
        <v>0.39014295154951134</v>
      </c>
      <c r="D139" s="290">
        <f t="shared" si="36"/>
        <v>0.59968081294987463</v>
      </c>
      <c r="E139" s="290">
        <f t="shared" si="36"/>
        <v>0.94296935728020292</v>
      </c>
      <c r="F139" s="290">
        <f t="shared" si="36"/>
        <v>0.46706789288612388</v>
      </c>
      <c r="G139" s="290">
        <f t="shared" si="36"/>
        <v>1.3617726237316214</v>
      </c>
      <c r="H139" s="290">
        <f t="shared" si="36"/>
        <v>0.47069195832220145</v>
      </c>
      <c r="I139" s="290" t="e">
        <f t="shared" si="36"/>
        <v>#DIV/0!</v>
      </c>
      <c r="J139" s="290">
        <f t="shared" si="36"/>
        <v>0.60419106459495597</v>
      </c>
      <c r="K139" s="290">
        <f t="shared" si="36"/>
        <v>0.72244493424653478</v>
      </c>
      <c r="L139" s="290">
        <f t="shared" si="36"/>
        <v>0.76560319388994968</v>
      </c>
      <c r="M139" s="290">
        <f t="shared" si="36"/>
        <v>0.57295908377475924</v>
      </c>
    </row>
    <row r="140" spans="2:13" x14ac:dyDescent="0.25">
      <c r="B140" s="161" t="s">
        <v>93</v>
      </c>
      <c r="C140" s="3">
        <f>C25/C29</f>
        <v>0.12693689160347729</v>
      </c>
      <c r="D140" s="290">
        <f t="shared" ref="D140:M140" si="37">D25/(D21+D25)</f>
        <v>0.22062990587239031</v>
      </c>
      <c r="E140" s="290">
        <f t="shared" si="37"/>
        <v>-1.4564496993004132E-2</v>
      </c>
      <c r="F140" s="290">
        <f t="shared" si="37"/>
        <v>0.7512510143359481</v>
      </c>
      <c r="G140" s="290">
        <f t="shared" si="37"/>
        <v>0.28784427417684821</v>
      </c>
      <c r="H140" s="290">
        <f t="shared" si="37"/>
        <v>0.41357200106866149</v>
      </c>
      <c r="I140" s="290" t="e">
        <f t="shared" si="37"/>
        <v>#DIV/0!</v>
      </c>
      <c r="J140" s="290">
        <f t="shared" si="37"/>
        <v>0.20279404306330398</v>
      </c>
      <c r="K140" s="290">
        <f t="shared" si="37"/>
        <v>0.28604606440733127</v>
      </c>
      <c r="L140" s="290">
        <f t="shared" si="37"/>
        <v>0.17337267835445236</v>
      </c>
      <c r="M140" s="290">
        <f t="shared" si="37"/>
        <v>0.25822968245608341</v>
      </c>
    </row>
    <row r="141" spans="2:13" x14ac:dyDescent="0.25">
      <c r="B141" s="161" t="s">
        <v>113</v>
      </c>
    </row>
    <row r="142" spans="2:13" x14ac:dyDescent="0.25">
      <c r="B142" s="161" t="s">
        <v>18</v>
      </c>
    </row>
    <row r="143" spans="2:13" x14ac:dyDescent="0.25">
      <c r="B143" s="159" t="s">
        <v>19</v>
      </c>
    </row>
    <row r="144" spans="2:13" x14ac:dyDescent="0.25">
      <c r="B144" s="160" t="s">
        <v>94</v>
      </c>
    </row>
    <row r="145" spans="2:13" x14ac:dyDescent="0.25">
      <c r="B145" s="157" t="s">
        <v>95</v>
      </c>
      <c r="C145" s="290">
        <f>((-1*C22)*4/Data!B4)/(YTD!C49)</f>
        <v>-2.6379525194108062E-4</v>
      </c>
      <c r="D145" s="290">
        <f t="shared" ref="D145:M145" si="38">-D22/D51</f>
        <v>4.3541659050938056E-3</v>
      </c>
      <c r="E145" s="290">
        <f t="shared" si="38"/>
        <v>2.6716892168921688E-2</v>
      </c>
      <c r="F145" s="290">
        <f t="shared" si="38"/>
        <v>5.5030758423498943E-3</v>
      </c>
      <c r="G145" s="290">
        <f t="shared" si="38"/>
        <v>0.14307305681670004</v>
      </c>
      <c r="H145" s="290">
        <f t="shared" si="38"/>
        <v>3.9611128266231234E-3</v>
      </c>
      <c r="I145" s="290" t="e">
        <f t="shared" si="38"/>
        <v>#DIV/0!</v>
      </c>
      <c r="J145" s="290">
        <f t="shared" si="38"/>
        <v>5.3954256906566401E-4</v>
      </c>
      <c r="K145" s="290">
        <f t="shared" si="38"/>
        <v>7.0445276890996663E-3</v>
      </c>
      <c r="L145" s="290">
        <f t="shared" si="38"/>
        <v>4.3024781394530648E-4</v>
      </c>
      <c r="M145" s="290">
        <f t="shared" si="38"/>
        <v>3.7549455018925921E-3</v>
      </c>
    </row>
    <row r="146" spans="2:13" x14ac:dyDescent="0.25">
      <c r="B146" s="159" t="s">
        <v>96</v>
      </c>
    </row>
    <row r="147" spans="2:13" x14ac:dyDescent="0.25">
      <c r="B147" s="162" t="s">
        <v>97</v>
      </c>
    </row>
    <row r="148" spans="2:13" x14ac:dyDescent="0.25">
      <c r="B148" s="157" t="s">
        <v>98</v>
      </c>
    </row>
    <row r="149" spans="2:13" x14ac:dyDescent="0.25">
      <c r="B149" s="158" t="s">
        <v>114</v>
      </c>
    </row>
    <row r="150" spans="2:13" x14ac:dyDescent="0.25">
      <c r="B150" s="158" t="s">
        <v>99</v>
      </c>
    </row>
    <row r="151" spans="2:13" x14ac:dyDescent="0.25">
      <c r="B151" s="158" t="s">
        <v>100</v>
      </c>
    </row>
    <row r="152" spans="2:13" x14ac:dyDescent="0.25">
      <c r="B152" s="158" t="s">
        <v>101</v>
      </c>
    </row>
    <row r="153" spans="2:13" x14ac:dyDescent="0.25">
      <c r="B153" s="158" t="s">
        <v>102</v>
      </c>
    </row>
    <row r="154" spans="2:13" x14ac:dyDescent="0.25">
      <c r="B154" s="158" t="s">
        <v>103</v>
      </c>
    </row>
    <row r="155" spans="2:13" x14ac:dyDescent="0.25">
      <c r="B155" s="158" t="s">
        <v>104</v>
      </c>
    </row>
    <row r="156" spans="2:13" x14ac:dyDescent="0.25">
      <c r="B156" s="158" t="s">
        <v>105</v>
      </c>
    </row>
    <row r="157" spans="2:13" x14ac:dyDescent="0.25">
      <c r="B157" s="159" t="s">
        <v>106</v>
      </c>
    </row>
    <row r="158" spans="2:13" x14ac:dyDescent="0.25">
      <c r="B158" s="160" t="s">
        <v>107</v>
      </c>
    </row>
    <row r="159" spans="2:13" x14ac:dyDescent="0.25">
      <c r="B159" s="157" t="s">
        <v>108</v>
      </c>
    </row>
    <row r="160" spans="2:13" x14ac:dyDescent="0.25">
      <c r="B160" s="163" t="s">
        <v>109</v>
      </c>
    </row>
    <row r="161" spans="2:2" x14ac:dyDescent="0.25">
      <c r="B161" s="164" t="s">
        <v>115</v>
      </c>
    </row>
  </sheetData>
  <conditionalFormatting sqref="C120:M120">
    <cfRule type="cellIs" dxfId="24" priority="3" stopIfTrue="1" operator="lessThan">
      <formula>#REF!</formula>
    </cfRule>
    <cfRule type="cellIs" dxfId="23" priority="4" operator="lessThan">
      <formula>#REF!</formula>
    </cfRule>
  </conditionalFormatting>
  <conditionalFormatting sqref="C124:M129">
    <cfRule type="cellIs" dxfId="22" priority="1" stopIfTrue="1" operator="lessThan">
      <formula>#REF!</formula>
    </cfRule>
    <cfRule type="cellIs" dxfId="21" priority="2" operator="lessThan">
      <formula>#REF!</formula>
    </cfRule>
  </conditionalFormatting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4" name="Drop Down 1">
              <controlPr defaultSize="0" autoLine="0" autoPict="0">
                <anchor moveWithCells="1">
                  <from>
                    <xdr:col>12</xdr:col>
                    <xdr:colOff>0</xdr:colOff>
                    <xdr:row>7</xdr:row>
                    <xdr:rowOff>9525</xdr:rowOff>
                  </from>
                  <to>
                    <xdr:col>13</xdr:col>
                    <xdr:colOff>38100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2" r:id="rId5" name="Drop Down 2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61"/>
  <sheetViews>
    <sheetView topLeftCell="A42" zoomScaleNormal="100" workbookViewId="0">
      <pane xSplit="2" topLeftCell="C1" activePane="topRight" state="frozen"/>
      <selection pane="topRight" activeCell="C98" sqref="C98:L99"/>
    </sheetView>
  </sheetViews>
  <sheetFormatPr defaultColWidth="9.140625" defaultRowHeight="12.75" outlineLevelRow="1" outlineLevelCol="1" x14ac:dyDescent="0.25"/>
  <cols>
    <col min="1" max="1" width="2.42578125" style="1" customWidth="1"/>
    <col min="2" max="2" width="39.140625" style="3" bestFit="1" customWidth="1"/>
    <col min="3" max="3" width="12.140625" style="3" bestFit="1" customWidth="1" outlineLevel="1"/>
    <col min="4" max="4" width="11.7109375" style="3" customWidth="1" outlineLevel="1"/>
    <col min="5" max="6" width="10.7109375" style="3" customWidth="1" outlineLevel="1"/>
    <col min="7" max="7" width="13.7109375" style="3" customWidth="1" outlineLevel="1"/>
    <col min="8" max="8" width="15.42578125" style="3" customWidth="1" outlineLevel="1"/>
    <col min="9" max="10" width="11.28515625" style="3" customWidth="1" outlineLevel="1"/>
    <col min="11" max="11" width="14" style="3" customWidth="1" outlineLevel="1"/>
    <col min="12" max="12" width="11.5703125" style="3" customWidth="1" outlineLevel="1"/>
    <col min="13" max="13" width="14" style="115" bestFit="1" customWidth="1"/>
    <col min="14" max="16384" width="9.140625" style="3"/>
  </cols>
  <sheetData>
    <row r="1" spans="1:16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2"/>
    </row>
    <row r="3" spans="1:16" ht="13.9" hidden="1" customHeight="1" outlineLevel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6">
        <v>1</v>
      </c>
    </row>
    <row r="4" spans="1:16" ht="13.9" hidden="1" customHeight="1" outlineLevel="1" x14ac:dyDescent="0.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6">
        <v>2</v>
      </c>
    </row>
    <row r="5" spans="1:16" ht="13.9" hidden="1" customHeight="1" outlineLevel="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6">
        <v>3</v>
      </c>
    </row>
    <row r="6" spans="1:16" ht="13.9" hidden="1" customHeight="1" outlineLevel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6" collapsed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6" s="11" customFormat="1" ht="12.75" customHeight="1" x14ac:dyDescent="0.25">
      <c r="A8" s="1"/>
      <c r="B8" s="7" t="s">
        <v>3</v>
      </c>
      <c r="C8" s="8"/>
      <c r="D8" s="8"/>
      <c r="E8" s="8"/>
      <c r="F8" s="8"/>
      <c r="G8" s="9"/>
      <c r="H8" s="9"/>
      <c r="I8" s="9"/>
      <c r="J8" s="9"/>
      <c r="K8" s="9"/>
      <c r="L8" s="8"/>
      <c r="M8" s="116"/>
    </row>
    <row r="9" spans="1:16" s="11" customFormat="1" ht="13.5" thickBot="1" x14ac:dyDescent="0.3">
      <c r="A9" s="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17"/>
    </row>
    <row r="10" spans="1:16" s="11" customFormat="1" ht="14.45" customHeight="1" thickTop="1" x14ac:dyDescent="0.25">
      <c r="A10" s="1"/>
      <c r="B10" s="14"/>
      <c r="C10" s="15" t="s">
        <v>65</v>
      </c>
      <c r="D10" s="15" t="s">
        <v>66</v>
      </c>
      <c r="E10" s="15" t="s">
        <v>67</v>
      </c>
      <c r="F10" s="15" t="s">
        <v>83</v>
      </c>
      <c r="G10" s="15" t="s">
        <v>82</v>
      </c>
      <c r="H10" s="15" t="s">
        <v>68</v>
      </c>
      <c r="I10" s="15" t="s">
        <v>69</v>
      </c>
      <c r="J10" s="15" t="s">
        <v>161</v>
      </c>
      <c r="K10" s="15" t="s">
        <v>70</v>
      </c>
      <c r="L10" s="15" t="s">
        <v>71</v>
      </c>
      <c r="M10" s="118" t="s">
        <v>4</v>
      </c>
    </row>
    <row r="11" spans="1:16" s="11" customFormat="1" x14ac:dyDescent="0.25">
      <c r="A11" s="1"/>
      <c r="B11" s="14"/>
      <c r="C11" s="16">
        <v>46295</v>
      </c>
      <c r="D11" s="16">
        <f>C11</f>
        <v>46295</v>
      </c>
      <c r="E11" s="16">
        <f t="shared" ref="E11:L11" si="0">D11</f>
        <v>46295</v>
      </c>
      <c r="F11" s="16">
        <f t="shared" si="0"/>
        <v>46295</v>
      </c>
      <c r="G11" s="16">
        <f t="shared" si="0"/>
        <v>46295</v>
      </c>
      <c r="H11" s="16">
        <f t="shared" si="0"/>
        <v>46295</v>
      </c>
      <c r="I11" s="16">
        <f t="shared" si="0"/>
        <v>46295</v>
      </c>
      <c r="J11" s="16">
        <f t="shared" si="0"/>
        <v>46295</v>
      </c>
      <c r="K11" s="16">
        <f t="shared" si="0"/>
        <v>46295</v>
      </c>
      <c r="L11" s="16">
        <f t="shared" si="0"/>
        <v>46295</v>
      </c>
      <c r="M11" s="119">
        <v>45565</v>
      </c>
    </row>
    <row r="12" spans="1:16" ht="16.5" customHeight="1" x14ac:dyDescent="0.25">
      <c r="B12" s="17"/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5</v>
      </c>
      <c r="K12" s="18" t="s">
        <v>5</v>
      </c>
      <c r="L12" s="18" t="s">
        <v>5</v>
      </c>
      <c r="M12" s="120" t="s">
        <v>5</v>
      </c>
      <c r="O12" s="3">
        <v>271003</v>
      </c>
      <c r="P12" s="19">
        <f>C13-O12</f>
        <v>-271003</v>
      </c>
    </row>
    <row r="13" spans="1:16" x14ac:dyDescent="0.25">
      <c r="B13" s="17" t="s">
        <v>6</v>
      </c>
      <c r="C13" s="19">
        <f t="shared" ref="C13:M13" si="1">SUM(C14:C15)</f>
        <v>0</v>
      </c>
      <c r="D13" s="19">
        <f t="shared" si="1"/>
        <v>0</v>
      </c>
      <c r="E13" s="19">
        <f t="shared" si="1"/>
        <v>0</v>
      </c>
      <c r="F13" s="19">
        <f t="shared" si="1"/>
        <v>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19">
        <f t="shared" si="1"/>
        <v>0</v>
      </c>
      <c r="K13" s="19">
        <f t="shared" si="1"/>
        <v>0</v>
      </c>
      <c r="L13" s="19">
        <f t="shared" si="1"/>
        <v>0</v>
      </c>
      <c r="M13" s="121">
        <f t="shared" si="1"/>
        <v>0</v>
      </c>
      <c r="O13" s="3">
        <v>262847</v>
      </c>
      <c r="P13" s="19">
        <f t="shared" ref="P13:P42" si="2">C14-O13</f>
        <v>-262847</v>
      </c>
    </row>
    <row r="14" spans="1:16" outlineLevel="1" x14ac:dyDescent="0.25">
      <c r="B14" s="23" t="s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122">
        <f>SUM(C14:L14)</f>
        <v>0</v>
      </c>
      <c r="O14" s="3">
        <v>8156</v>
      </c>
      <c r="P14" s="19">
        <f t="shared" si="2"/>
        <v>-8156</v>
      </c>
    </row>
    <row r="15" spans="1:16" outlineLevel="1" x14ac:dyDescent="0.25">
      <c r="B15" s="23" t="s">
        <v>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122">
        <f>SUM(C15:L15)</f>
        <v>0</v>
      </c>
      <c r="P15" s="19">
        <f t="shared" si="2"/>
        <v>0</v>
      </c>
    </row>
    <row r="16" spans="1:16" outlineLevel="1" x14ac:dyDescent="0.25">
      <c r="B16" s="17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21"/>
      <c r="O16" s="3">
        <v>-74003</v>
      </c>
      <c r="P16" s="19">
        <f t="shared" si="2"/>
        <v>74003</v>
      </c>
    </row>
    <row r="17" spans="1:16" x14ac:dyDescent="0.25">
      <c r="B17" s="17" t="s">
        <v>9</v>
      </c>
      <c r="C17" s="27">
        <f t="shared" ref="C17:M17" si="3">SUM(C18:C20)</f>
        <v>0</v>
      </c>
      <c r="D17" s="27">
        <f t="shared" si="3"/>
        <v>0</v>
      </c>
      <c r="E17" s="27">
        <f t="shared" si="3"/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124">
        <f t="shared" si="3"/>
        <v>0</v>
      </c>
      <c r="O17" s="3">
        <v>-16086</v>
      </c>
      <c r="P17" s="19">
        <f t="shared" si="2"/>
        <v>16086</v>
      </c>
    </row>
    <row r="18" spans="1:16" ht="15" outlineLevel="1" x14ac:dyDescent="0.25">
      <c r="A18" s="28"/>
      <c r="B18" s="23" t="s">
        <v>10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22">
        <f t="shared" ref="M18:M23" si="4">SUM(C18:L18)</f>
        <v>0</v>
      </c>
      <c r="O18" s="3">
        <v>-57917</v>
      </c>
      <c r="P18" s="19">
        <f t="shared" si="2"/>
        <v>57917</v>
      </c>
    </row>
    <row r="19" spans="1:16" ht="15" outlineLevel="1" x14ac:dyDescent="0.25">
      <c r="A19" s="28"/>
      <c r="B19" s="23" t="s">
        <v>11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122">
        <f t="shared" si="4"/>
        <v>0</v>
      </c>
      <c r="P19" s="19">
        <f t="shared" si="2"/>
        <v>0</v>
      </c>
    </row>
    <row r="20" spans="1:16" ht="15" outlineLevel="1" x14ac:dyDescent="0.25">
      <c r="A20" s="28"/>
      <c r="B20" s="23" t="s">
        <v>8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122">
        <f t="shared" si="4"/>
        <v>0</v>
      </c>
      <c r="O20" s="3">
        <v>197000</v>
      </c>
      <c r="P20" s="19">
        <f t="shared" si="2"/>
        <v>-197000</v>
      </c>
    </row>
    <row r="21" spans="1:16" s="11" customFormat="1" ht="15" x14ac:dyDescent="0.25">
      <c r="A21" s="28"/>
      <c r="B21" s="30" t="s">
        <v>12</v>
      </c>
      <c r="C21" s="31">
        <f t="shared" ref="C21:L21" si="5">C13+C17</f>
        <v>0</v>
      </c>
      <c r="D21" s="31">
        <f t="shared" si="5"/>
        <v>0</v>
      </c>
      <c r="E21" s="31">
        <f t="shared" si="5"/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122">
        <f t="shared" si="4"/>
        <v>0</v>
      </c>
      <c r="O21" s="11">
        <v>-15569</v>
      </c>
      <c r="P21" s="19">
        <f t="shared" si="2"/>
        <v>15569</v>
      </c>
    </row>
    <row r="22" spans="1:16" ht="15" x14ac:dyDescent="0.25">
      <c r="A22" s="28"/>
      <c r="B22" s="17" t="s">
        <v>13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122">
        <f t="shared" si="4"/>
        <v>0</v>
      </c>
      <c r="O22" s="3">
        <v>181431</v>
      </c>
      <c r="P22" s="19">
        <f t="shared" si="2"/>
        <v>-181431</v>
      </c>
    </row>
    <row r="23" spans="1:16" ht="15" x14ac:dyDescent="0.25">
      <c r="A23" s="28"/>
      <c r="B23" s="32" t="s">
        <v>14</v>
      </c>
      <c r="C23" s="21">
        <f t="shared" ref="C23:L23" si="6">C21+C22</f>
        <v>0</v>
      </c>
      <c r="D23" s="21">
        <f t="shared" si="6"/>
        <v>0</v>
      </c>
      <c r="E23" s="21">
        <f t="shared" si="6"/>
        <v>0</v>
      </c>
      <c r="F23" s="21">
        <f t="shared" si="6"/>
        <v>0</v>
      </c>
      <c r="G23" s="21">
        <f t="shared" si="6"/>
        <v>0</v>
      </c>
      <c r="H23" s="21">
        <f t="shared" si="6"/>
        <v>0</v>
      </c>
      <c r="I23" s="21">
        <f t="shared" si="6"/>
        <v>0</v>
      </c>
      <c r="J23" s="21">
        <f t="shared" si="6"/>
        <v>0</v>
      </c>
      <c r="K23" s="21">
        <f t="shared" si="6"/>
        <v>0</v>
      </c>
      <c r="L23" s="21">
        <f t="shared" si="6"/>
        <v>0</v>
      </c>
      <c r="M23" s="122">
        <f t="shared" si="4"/>
        <v>0</v>
      </c>
      <c r="P23" s="19">
        <f t="shared" si="2"/>
        <v>0</v>
      </c>
    </row>
    <row r="24" spans="1:16" ht="9.6" customHeight="1" x14ac:dyDescent="0.25">
      <c r="A24" s="28"/>
      <c r="B24" s="33"/>
      <c r="C24" s="19"/>
      <c r="D24" s="21"/>
      <c r="E24" s="19"/>
      <c r="F24" s="19"/>
      <c r="G24" s="19"/>
      <c r="H24" s="19"/>
      <c r="I24" s="21"/>
      <c r="J24" s="21"/>
      <c r="K24" s="21"/>
      <c r="L24" s="21"/>
      <c r="M24" s="125"/>
      <c r="O24" s="3">
        <v>18359</v>
      </c>
      <c r="P24" s="19">
        <f t="shared" si="2"/>
        <v>-18359</v>
      </c>
    </row>
    <row r="25" spans="1:16" s="11" customFormat="1" ht="15" x14ac:dyDescent="0.25">
      <c r="A25" s="28"/>
      <c r="B25" s="32" t="s">
        <v>15</v>
      </c>
      <c r="C25" s="27">
        <f t="shared" ref="C25:M25" si="7">SUM(C26:C28)</f>
        <v>0</v>
      </c>
      <c r="D25" s="27">
        <f t="shared" si="7"/>
        <v>0</v>
      </c>
      <c r="E25" s="27">
        <f t="shared" si="7"/>
        <v>0</v>
      </c>
      <c r="F25" s="27">
        <f t="shared" si="7"/>
        <v>0</v>
      </c>
      <c r="G25" s="27">
        <f t="shared" si="7"/>
        <v>0</v>
      </c>
      <c r="H25" s="27">
        <f t="shared" si="7"/>
        <v>0</v>
      </c>
      <c r="I25" s="27">
        <f t="shared" si="7"/>
        <v>0</v>
      </c>
      <c r="J25" s="27">
        <f t="shared" si="7"/>
        <v>0</v>
      </c>
      <c r="K25" s="27">
        <f t="shared" si="7"/>
        <v>0</v>
      </c>
      <c r="L25" s="27">
        <f t="shared" si="7"/>
        <v>0</v>
      </c>
      <c r="M25" s="124">
        <f t="shared" si="7"/>
        <v>0</v>
      </c>
      <c r="O25" s="11">
        <v>14</v>
      </c>
      <c r="P25" s="19">
        <f t="shared" si="2"/>
        <v>-14</v>
      </c>
    </row>
    <row r="26" spans="1:16" s="11" customFormat="1" ht="15" x14ac:dyDescent="0.25">
      <c r="A26" s="28"/>
      <c r="B26" s="34" t="s">
        <v>16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122">
        <f t="shared" ref="M26:M28" si="8">SUM(C26:L26)</f>
        <v>0</v>
      </c>
      <c r="O26" s="11">
        <v>-4837</v>
      </c>
      <c r="P26" s="19">
        <f t="shared" si="2"/>
        <v>4837</v>
      </c>
    </row>
    <row r="27" spans="1:16" s="11" customFormat="1" ht="15" x14ac:dyDescent="0.25">
      <c r="A27" s="28"/>
      <c r="B27" s="34" t="s">
        <v>172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22">
        <f t="shared" si="8"/>
        <v>0</v>
      </c>
      <c r="P27" s="19">
        <f t="shared" si="2"/>
        <v>0</v>
      </c>
    </row>
    <row r="28" spans="1:16" s="11" customFormat="1" ht="15" x14ac:dyDescent="0.25">
      <c r="A28" s="28"/>
      <c r="B28" s="34" t="s">
        <v>17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122">
        <f t="shared" si="8"/>
        <v>0</v>
      </c>
      <c r="P28" s="19">
        <f t="shared" si="2"/>
        <v>0</v>
      </c>
    </row>
    <row r="29" spans="1:16" s="11" customFormat="1" ht="15" x14ac:dyDescent="0.25">
      <c r="A29" s="28"/>
      <c r="B29" s="32" t="s">
        <v>18</v>
      </c>
      <c r="C29" s="36">
        <f t="shared" ref="C29:M29" si="9">C23+C25</f>
        <v>0</v>
      </c>
      <c r="D29" s="36">
        <f t="shared" si="9"/>
        <v>0</v>
      </c>
      <c r="E29" s="36">
        <f t="shared" si="9"/>
        <v>0</v>
      </c>
      <c r="F29" s="36">
        <f t="shared" si="9"/>
        <v>0</v>
      </c>
      <c r="G29" s="36">
        <f t="shared" si="9"/>
        <v>0</v>
      </c>
      <c r="H29" s="36">
        <f t="shared" si="9"/>
        <v>0</v>
      </c>
      <c r="I29" s="36">
        <f t="shared" si="9"/>
        <v>0</v>
      </c>
      <c r="J29" s="36">
        <f t="shared" si="9"/>
        <v>0</v>
      </c>
      <c r="K29" s="36">
        <f t="shared" si="9"/>
        <v>0</v>
      </c>
      <c r="L29" s="36">
        <f t="shared" si="9"/>
        <v>0</v>
      </c>
      <c r="M29" s="126">
        <f t="shared" si="9"/>
        <v>0</v>
      </c>
      <c r="P29" s="19">
        <f t="shared" si="2"/>
        <v>0</v>
      </c>
    </row>
    <row r="30" spans="1:16" s="11" customFormat="1" ht="12" customHeight="1" x14ac:dyDescent="0.25">
      <c r="A30" s="28"/>
      <c r="B30" s="34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21"/>
      <c r="O30" s="11">
        <v>23182</v>
      </c>
      <c r="P30" s="19">
        <f t="shared" si="2"/>
        <v>-23182</v>
      </c>
    </row>
    <row r="31" spans="1:16" s="11" customFormat="1" ht="15" x14ac:dyDescent="0.25">
      <c r="A31" s="28"/>
      <c r="B31" s="32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1"/>
      <c r="O31" s="11">
        <v>199790</v>
      </c>
      <c r="P31" s="19">
        <f t="shared" si="2"/>
        <v>-199790</v>
      </c>
    </row>
    <row r="32" spans="1:16" s="11" customFormat="1" ht="15" customHeight="1" x14ac:dyDescent="0.25">
      <c r="A32" s="28"/>
      <c r="B32" s="37" t="s">
        <v>20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122">
        <f>SUM(C32:L32)</f>
        <v>0</v>
      </c>
      <c r="P32" s="19">
        <f t="shared" si="2"/>
        <v>0</v>
      </c>
    </row>
    <row r="33" spans="1:16" s="11" customFormat="1" ht="11.45" customHeight="1" x14ac:dyDescent="0.25">
      <c r="A33" s="28"/>
      <c r="B33" s="17" t="s">
        <v>21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122">
        <f>SUM(C33:L33)</f>
        <v>0</v>
      </c>
      <c r="P33" s="19">
        <f t="shared" si="2"/>
        <v>0</v>
      </c>
    </row>
    <row r="34" spans="1:16" s="11" customFormat="1" ht="10.5" customHeight="1" x14ac:dyDescent="0.25">
      <c r="A34" s="28"/>
      <c r="B34" s="40" t="s">
        <v>22</v>
      </c>
      <c r="C34" s="41">
        <f>SUM(C32:C33)</f>
        <v>0</v>
      </c>
      <c r="D34" s="41">
        <f t="shared" ref="D34:M34" si="10">SUM(D32:D33)</f>
        <v>0</v>
      </c>
      <c r="E34" s="41">
        <f t="shared" si="10"/>
        <v>0</v>
      </c>
      <c r="F34" s="41">
        <f t="shared" si="10"/>
        <v>0</v>
      </c>
      <c r="G34" s="41">
        <f t="shared" si="10"/>
        <v>0</v>
      </c>
      <c r="H34" s="41">
        <f t="shared" si="10"/>
        <v>0</v>
      </c>
      <c r="I34" s="41">
        <f t="shared" si="10"/>
        <v>0</v>
      </c>
      <c r="J34" s="41">
        <f t="shared" si="10"/>
        <v>0</v>
      </c>
      <c r="K34" s="41">
        <f t="shared" si="10"/>
        <v>0</v>
      </c>
      <c r="L34" s="41">
        <f t="shared" si="10"/>
        <v>0</v>
      </c>
      <c r="M34" s="128">
        <f t="shared" si="10"/>
        <v>0</v>
      </c>
      <c r="O34" s="11">
        <v>-6747</v>
      </c>
      <c r="P34" s="19">
        <f t="shared" si="2"/>
        <v>6747</v>
      </c>
    </row>
    <row r="35" spans="1:16" s="11" customFormat="1" ht="12.75" customHeight="1" x14ac:dyDescent="0.25">
      <c r="A35" s="28"/>
      <c r="B35" s="1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127"/>
      <c r="O35" s="11">
        <v>-78601</v>
      </c>
      <c r="P35" s="19">
        <f t="shared" si="2"/>
        <v>78601</v>
      </c>
    </row>
    <row r="36" spans="1:16" s="11" customFormat="1" ht="15" x14ac:dyDescent="0.25">
      <c r="A36" s="28"/>
      <c r="B36" s="40" t="s">
        <v>23</v>
      </c>
      <c r="C36" s="35">
        <f t="shared" ref="C36:M36" si="11">C29+C34</f>
        <v>0</v>
      </c>
      <c r="D36" s="35">
        <f t="shared" si="11"/>
        <v>0</v>
      </c>
      <c r="E36" s="35">
        <f t="shared" si="11"/>
        <v>0</v>
      </c>
      <c r="F36" s="35">
        <f t="shared" si="11"/>
        <v>0</v>
      </c>
      <c r="G36" s="35">
        <f t="shared" si="11"/>
        <v>0</v>
      </c>
      <c r="H36" s="35">
        <f t="shared" si="11"/>
        <v>0</v>
      </c>
      <c r="I36" s="35">
        <f t="shared" si="11"/>
        <v>0</v>
      </c>
      <c r="J36" s="35">
        <f t="shared" si="11"/>
        <v>0</v>
      </c>
      <c r="K36" s="35">
        <f t="shared" si="11"/>
        <v>0</v>
      </c>
      <c r="L36" s="35">
        <f t="shared" si="11"/>
        <v>0</v>
      </c>
      <c r="M36" s="129">
        <f t="shared" si="11"/>
        <v>0</v>
      </c>
      <c r="O36" s="11">
        <v>-85348</v>
      </c>
      <c r="P36" s="19">
        <f t="shared" si="2"/>
        <v>85348</v>
      </c>
    </row>
    <row r="37" spans="1:16" s="11" customFormat="1" ht="15" x14ac:dyDescent="0.25">
      <c r="A37" s="28"/>
      <c r="B37" s="40" t="s">
        <v>24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f>'[2]IS, BS &amp; Ratios Dec 20.'!K44+'[2]IS, Q March 21'!K44</f>
        <v>0</v>
      </c>
      <c r="M37" s="122">
        <f>SUM(C37:L37)</f>
        <v>0</v>
      </c>
      <c r="P37" s="19">
        <f t="shared" si="2"/>
        <v>0</v>
      </c>
    </row>
    <row r="38" spans="1:16" s="11" customFormat="1" ht="15" x14ac:dyDescent="0.25">
      <c r="A38" s="28"/>
      <c r="B38" s="40" t="s">
        <v>25</v>
      </c>
      <c r="C38" s="21">
        <f>SUM(C36:C37)</f>
        <v>0</v>
      </c>
      <c r="D38" s="21">
        <f t="shared" ref="D38:L38" si="12">SUM(D36:D37)</f>
        <v>0</v>
      </c>
      <c r="E38" s="21">
        <f t="shared" si="12"/>
        <v>0</v>
      </c>
      <c r="F38" s="21">
        <f t="shared" si="12"/>
        <v>0</v>
      </c>
      <c r="G38" s="21">
        <f t="shared" si="12"/>
        <v>0</v>
      </c>
      <c r="H38" s="21">
        <f t="shared" si="12"/>
        <v>0</v>
      </c>
      <c r="I38" s="21">
        <f t="shared" si="12"/>
        <v>0</v>
      </c>
      <c r="J38" s="21">
        <f t="shared" si="12"/>
        <v>0</v>
      </c>
      <c r="K38" s="21">
        <f t="shared" si="12"/>
        <v>0</v>
      </c>
      <c r="L38" s="21">
        <f t="shared" si="12"/>
        <v>0</v>
      </c>
      <c r="M38" s="122">
        <f>SUM(C38:L38)</f>
        <v>0</v>
      </c>
      <c r="O38" s="11">
        <v>114442</v>
      </c>
      <c r="P38" s="19">
        <f t="shared" si="2"/>
        <v>-114442</v>
      </c>
    </row>
    <row r="39" spans="1:16" ht="15" x14ac:dyDescent="0.25">
      <c r="A39" s="28"/>
      <c r="B39" s="17" t="s">
        <v>26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122">
        <f>SUM(C39:L39)</f>
        <v>0</v>
      </c>
      <c r="P39" s="19">
        <f t="shared" si="2"/>
        <v>0</v>
      </c>
    </row>
    <row r="40" spans="1:16" s="11" customFormat="1" ht="15" x14ac:dyDescent="0.25">
      <c r="A40" s="28"/>
      <c r="B40" s="40" t="s">
        <v>27</v>
      </c>
      <c r="C40" s="43">
        <f>SUM(C38:C39)</f>
        <v>0</v>
      </c>
      <c r="D40" s="43">
        <f t="shared" ref="D40:M40" si="13">SUM(D38:D39)</f>
        <v>0</v>
      </c>
      <c r="E40" s="43">
        <f t="shared" si="13"/>
        <v>0</v>
      </c>
      <c r="F40" s="43">
        <f t="shared" si="13"/>
        <v>0</v>
      </c>
      <c r="G40" s="43">
        <f t="shared" si="13"/>
        <v>0</v>
      </c>
      <c r="H40" s="43">
        <f t="shared" si="13"/>
        <v>0</v>
      </c>
      <c r="I40" s="43">
        <f t="shared" si="13"/>
        <v>0</v>
      </c>
      <c r="J40" s="43">
        <f t="shared" si="13"/>
        <v>0</v>
      </c>
      <c r="K40" s="43">
        <f>SUM(K38:K39)</f>
        <v>0</v>
      </c>
      <c r="L40" s="43">
        <f t="shared" si="13"/>
        <v>0</v>
      </c>
      <c r="M40" s="130">
        <f t="shared" si="13"/>
        <v>0</v>
      </c>
      <c r="O40" s="11">
        <v>114442</v>
      </c>
      <c r="P40" s="19">
        <f t="shared" si="2"/>
        <v>-114442</v>
      </c>
    </row>
    <row r="41" spans="1:16" s="11" customFormat="1" ht="15" x14ac:dyDescent="0.25">
      <c r="A41" s="28"/>
      <c r="B41" s="40"/>
      <c r="C41" s="44"/>
      <c r="D41" s="45"/>
      <c r="E41" s="45"/>
      <c r="F41" s="45"/>
      <c r="G41" s="45"/>
      <c r="H41" s="45"/>
      <c r="I41" s="45"/>
      <c r="J41" s="45"/>
      <c r="K41" s="45"/>
      <c r="L41" s="261"/>
      <c r="M41" s="129"/>
      <c r="O41" s="11">
        <v>-34663</v>
      </c>
      <c r="P41" s="19">
        <f t="shared" si="2"/>
        <v>34663</v>
      </c>
    </row>
    <row r="42" spans="1:16" s="11" customFormat="1" ht="15" x14ac:dyDescent="0.25">
      <c r="A42" s="28"/>
      <c r="B42" s="32"/>
      <c r="D42" s="47"/>
      <c r="I42" s="47"/>
      <c r="J42" s="47"/>
      <c r="K42" s="47"/>
      <c r="L42" s="47"/>
      <c r="M42" s="131"/>
      <c r="O42" s="11">
        <v>79779</v>
      </c>
      <c r="P42" s="19">
        <f t="shared" si="2"/>
        <v>-79779</v>
      </c>
    </row>
    <row r="43" spans="1:16" s="11" customFormat="1" ht="15.75" thickBot="1" x14ac:dyDescent="0.3">
      <c r="A43" s="28"/>
      <c r="B43" s="49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17"/>
    </row>
    <row r="44" spans="1:16" s="11" customFormat="1" ht="15.75" thickTop="1" x14ac:dyDescent="0.25">
      <c r="A44" s="28"/>
      <c r="B44" s="50"/>
      <c r="C44" s="16">
        <f>C11</f>
        <v>46295</v>
      </c>
      <c r="D44" s="16">
        <f>C44</f>
        <v>46295</v>
      </c>
      <c r="E44" s="16">
        <f t="shared" ref="E44:L44" si="14">D44</f>
        <v>46295</v>
      </c>
      <c r="F44" s="16">
        <f t="shared" si="14"/>
        <v>46295</v>
      </c>
      <c r="G44" s="16">
        <f t="shared" si="14"/>
        <v>46295</v>
      </c>
      <c r="H44" s="16">
        <f t="shared" si="14"/>
        <v>46295</v>
      </c>
      <c r="I44" s="16">
        <f t="shared" si="14"/>
        <v>46295</v>
      </c>
      <c r="J44" s="16">
        <f t="shared" si="14"/>
        <v>46295</v>
      </c>
      <c r="K44" s="16">
        <f t="shared" si="14"/>
        <v>46295</v>
      </c>
      <c r="L44" s="16">
        <f t="shared" si="14"/>
        <v>46295</v>
      </c>
      <c r="M44" s="119">
        <f>L44</f>
        <v>46295</v>
      </c>
    </row>
    <row r="45" spans="1:16" s="11" customFormat="1" ht="15" x14ac:dyDescent="0.25">
      <c r="A45" s="28"/>
      <c r="B45" s="50"/>
      <c r="C45" s="18" t="s">
        <v>5</v>
      </c>
      <c r="D45" s="18" t="s">
        <v>5</v>
      </c>
      <c r="E45" s="18" t="s">
        <v>5</v>
      </c>
      <c r="F45" s="18" t="s">
        <v>5</v>
      </c>
      <c r="G45" s="18" t="s">
        <v>5</v>
      </c>
      <c r="H45" s="18" t="s">
        <v>5</v>
      </c>
      <c r="I45" s="18" t="s">
        <v>5</v>
      </c>
      <c r="J45" s="18"/>
      <c r="K45" s="18" t="s">
        <v>5</v>
      </c>
      <c r="L45" s="18" t="s">
        <v>5</v>
      </c>
      <c r="M45" s="120" t="s">
        <v>5</v>
      </c>
    </row>
    <row r="46" spans="1:16" s="11" customFormat="1" ht="18.75" customHeight="1" x14ac:dyDescent="0.25">
      <c r="A46" s="28"/>
      <c r="B46" s="32" t="s">
        <v>29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32"/>
    </row>
    <row r="47" spans="1:16" s="11" customFormat="1" ht="13.5" customHeight="1" x14ac:dyDescent="0.25">
      <c r="A47" s="28"/>
      <c r="B47" s="34" t="s">
        <v>72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122">
        <f t="shared" ref="M47:M53" si="15">SUM(C47:L47)</f>
        <v>0</v>
      </c>
    </row>
    <row r="48" spans="1:16" s="11" customFormat="1" ht="13.5" customHeight="1" x14ac:dyDescent="0.25">
      <c r="A48" s="28"/>
      <c r="B48" s="34" t="s">
        <v>183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122">
        <f t="shared" si="15"/>
        <v>0</v>
      </c>
    </row>
    <row r="49" spans="1:13" s="11" customFormat="1" ht="13.5" customHeight="1" x14ac:dyDescent="0.25">
      <c r="A49" s="28"/>
      <c r="B49" s="34" t="s">
        <v>74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122">
        <f t="shared" si="15"/>
        <v>0</v>
      </c>
    </row>
    <row r="50" spans="1:13" ht="15" x14ac:dyDescent="0.25">
      <c r="A50" s="28"/>
      <c r="B50" s="34" t="s">
        <v>75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122">
        <f t="shared" si="15"/>
        <v>0</v>
      </c>
    </row>
    <row r="51" spans="1:13" ht="15" x14ac:dyDescent="0.25">
      <c r="A51" s="28"/>
      <c r="B51" s="34" t="s">
        <v>81</v>
      </c>
      <c r="C51" s="246">
        <f>SUM(C49:C50)</f>
        <v>0</v>
      </c>
      <c r="D51" s="246">
        <f t="shared" ref="D51:M51" si="16">SUM(D49:D50)</f>
        <v>0</v>
      </c>
      <c r="E51" s="246">
        <f t="shared" si="16"/>
        <v>0</v>
      </c>
      <c r="F51" s="246">
        <f t="shared" si="16"/>
        <v>0</v>
      </c>
      <c r="G51" s="246">
        <f t="shared" si="16"/>
        <v>0</v>
      </c>
      <c r="H51" s="246">
        <f t="shared" si="16"/>
        <v>0</v>
      </c>
      <c r="I51" s="246">
        <f t="shared" si="16"/>
        <v>0</v>
      </c>
      <c r="J51" s="246">
        <f t="shared" si="16"/>
        <v>0</v>
      </c>
      <c r="K51" s="246">
        <f t="shared" si="16"/>
        <v>0</v>
      </c>
      <c r="L51" s="246">
        <f t="shared" si="16"/>
        <v>0</v>
      </c>
      <c r="M51" s="246">
        <f t="shared" si="16"/>
        <v>0</v>
      </c>
    </row>
    <row r="52" spans="1:13" ht="15" x14ac:dyDescent="0.25">
      <c r="A52" s="28"/>
      <c r="B52" s="17" t="s">
        <v>77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122">
        <f t="shared" si="15"/>
        <v>0</v>
      </c>
    </row>
    <row r="53" spans="1:13" ht="15" outlineLevel="1" x14ac:dyDescent="0.25">
      <c r="A53" s="28"/>
      <c r="B53" s="17" t="s">
        <v>78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122">
        <f t="shared" si="15"/>
        <v>0</v>
      </c>
    </row>
    <row r="54" spans="1:13" ht="13.5" thickBot="1" x14ac:dyDescent="0.3">
      <c r="B54" s="32" t="s">
        <v>30</v>
      </c>
      <c r="C54" s="51">
        <f t="shared" ref="C54:M54" si="17">SUM(C47:C48)+C51+C52+C53</f>
        <v>0</v>
      </c>
      <c r="D54" s="51">
        <f t="shared" si="17"/>
        <v>0</v>
      </c>
      <c r="E54" s="51">
        <f t="shared" si="17"/>
        <v>0</v>
      </c>
      <c r="F54" s="51">
        <f t="shared" si="17"/>
        <v>0</v>
      </c>
      <c r="G54" s="51">
        <f t="shared" si="17"/>
        <v>0</v>
      </c>
      <c r="H54" s="51">
        <f t="shared" si="17"/>
        <v>0</v>
      </c>
      <c r="I54" s="51">
        <f t="shared" si="17"/>
        <v>0</v>
      </c>
      <c r="J54" s="51">
        <f t="shared" si="17"/>
        <v>0</v>
      </c>
      <c r="K54" s="51">
        <f t="shared" si="17"/>
        <v>0</v>
      </c>
      <c r="L54" s="51">
        <f t="shared" si="17"/>
        <v>0</v>
      </c>
      <c r="M54" s="51">
        <f t="shared" si="17"/>
        <v>0</v>
      </c>
    </row>
    <row r="55" spans="1:13" ht="13.5" thickTop="1" x14ac:dyDescent="0.25">
      <c r="B55" s="1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23"/>
    </row>
    <row r="56" spans="1:13" x14ac:dyDescent="0.25">
      <c r="B56" s="32" t="s">
        <v>31</v>
      </c>
      <c r="C56" s="48"/>
      <c r="D56" s="46"/>
      <c r="E56" s="48"/>
      <c r="F56" s="48"/>
      <c r="G56" s="48"/>
      <c r="H56" s="48">
        <v>0</v>
      </c>
      <c r="I56" s="46"/>
      <c r="J56" s="46"/>
      <c r="K56" s="46"/>
      <c r="L56" s="46"/>
      <c r="M56" s="133"/>
    </row>
    <row r="57" spans="1:13" x14ac:dyDescent="0.25">
      <c r="B57" s="32" t="s">
        <v>187</v>
      </c>
      <c r="C57" s="48">
        <f>SUM(C58:C59)</f>
        <v>0</v>
      </c>
      <c r="D57" s="48">
        <f t="shared" ref="D57:M57" si="18">SUM(D58:D59)</f>
        <v>0</v>
      </c>
      <c r="E57" s="48">
        <f t="shared" si="18"/>
        <v>0</v>
      </c>
      <c r="F57" s="48">
        <f t="shared" si="18"/>
        <v>0</v>
      </c>
      <c r="G57" s="48">
        <f t="shared" si="18"/>
        <v>0</v>
      </c>
      <c r="H57" s="48">
        <f t="shared" si="18"/>
        <v>0</v>
      </c>
      <c r="I57" s="48">
        <f t="shared" si="18"/>
        <v>0</v>
      </c>
      <c r="J57" s="48">
        <f t="shared" si="18"/>
        <v>0</v>
      </c>
      <c r="K57" s="48">
        <f t="shared" si="18"/>
        <v>0</v>
      </c>
      <c r="L57" s="48">
        <f t="shared" si="18"/>
        <v>0</v>
      </c>
      <c r="M57" s="48">
        <f t="shared" si="18"/>
        <v>0</v>
      </c>
    </row>
    <row r="58" spans="1:13" x14ac:dyDescent="0.25">
      <c r="B58" s="17" t="s">
        <v>76</v>
      </c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>
        <f>SUM(C58:L58)</f>
        <v>0</v>
      </c>
    </row>
    <row r="59" spans="1:13" x14ac:dyDescent="0.25">
      <c r="B59" s="17" t="s">
        <v>177</v>
      </c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>
        <f>SUM(C59:L59)</f>
        <v>0</v>
      </c>
    </row>
    <row r="60" spans="1:13" x14ac:dyDescent="0.25">
      <c r="B60" s="17" t="s">
        <v>185</v>
      </c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122">
        <f t="shared" ref="M60:M65" si="19">SUM(C60:L60)</f>
        <v>0</v>
      </c>
    </row>
    <row r="61" spans="1:13" x14ac:dyDescent="0.25">
      <c r="B61" s="17" t="s">
        <v>79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122">
        <f t="shared" si="19"/>
        <v>0</v>
      </c>
    </row>
    <row r="62" spans="1:13" x14ac:dyDescent="0.25">
      <c r="B62" s="17" t="s">
        <v>182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122">
        <f t="shared" si="19"/>
        <v>0</v>
      </c>
    </row>
    <row r="63" spans="1:13" x14ac:dyDescent="0.25">
      <c r="B63" s="37" t="s">
        <v>80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122">
        <f>SUM(C63:L63)</f>
        <v>0</v>
      </c>
    </row>
    <row r="64" spans="1:13" ht="13.5" customHeight="1" x14ac:dyDescent="0.25">
      <c r="B64" s="17" t="s">
        <v>32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122">
        <f t="shared" si="19"/>
        <v>0</v>
      </c>
    </row>
    <row r="65" spans="2:13" x14ac:dyDescent="0.25">
      <c r="B65" s="37" t="s">
        <v>179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122">
        <f t="shared" si="19"/>
        <v>0</v>
      </c>
    </row>
    <row r="66" spans="2:13" x14ac:dyDescent="0.25">
      <c r="B66" s="32" t="s">
        <v>33</v>
      </c>
      <c r="C66" s="55">
        <f>SUM(C60:C65)+C57</f>
        <v>0</v>
      </c>
      <c r="D66" s="55">
        <f t="shared" ref="D66:M66" si="20">SUM(D60:D65)+D57</f>
        <v>0</v>
      </c>
      <c r="E66" s="55">
        <f t="shared" si="20"/>
        <v>0</v>
      </c>
      <c r="F66" s="55">
        <f t="shared" si="20"/>
        <v>0</v>
      </c>
      <c r="G66" s="55">
        <f t="shared" si="20"/>
        <v>0</v>
      </c>
      <c r="H66" s="55">
        <f t="shared" si="20"/>
        <v>0</v>
      </c>
      <c r="I66" s="55">
        <f t="shared" si="20"/>
        <v>0</v>
      </c>
      <c r="J66" s="55">
        <f t="shared" si="20"/>
        <v>0</v>
      </c>
      <c r="K66" s="55">
        <f t="shared" si="20"/>
        <v>0</v>
      </c>
      <c r="L66" s="55">
        <f t="shared" si="20"/>
        <v>0</v>
      </c>
      <c r="M66" s="55">
        <f t="shared" si="20"/>
        <v>0</v>
      </c>
    </row>
    <row r="67" spans="2:13" x14ac:dyDescent="0.25">
      <c r="B67" s="17"/>
      <c r="M67" s="122">
        <f t="shared" ref="M67:M74" si="21">SUM(C67:L67)</f>
        <v>0</v>
      </c>
    </row>
    <row r="68" spans="2:13" x14ac:dyDescent="0.25">
      <c r="B68" s="17" t="s">
        <v>34</v>
      </c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122">
        <f t="shared" si="21"/>
        <v>0</v>
      </c>
    </row>
    <row r="69" spans="2:13" x14ac:dyDescent="0.25">
      <c r="B69" s="17" t="s">
        <v>35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122">
        <f t="shared" si="21"/>
        <v>0</v>
      </c>
    </row>
    <row r="70" spans="2:13" x14ac:dyDescent="0.25">
      <c r="B70" s="17" t="s">
        <v>36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122">
        <f t="shared" si="21"/>
        <v>0</v>
      </c>
    </row>
    <row r="71" spans="2:13" x14ac:dyDescent="0.25">
      <c r="B71" s="17" t="s">
        <v>189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122">
        <f t="shared" si="21"/>
        <v>0</v>
      </c>
    </row>
    <row r="72" spans="2:13" x14ac:dyDescent="0.25">
      <c r="B72" s="17" t="s">
        <v>180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122">
        <f t="shared" si="21"/>
        <v>0</v>
      </c>
    </row>
    <row r="73" spans="2:13" x14ac:dyDescent="0.25">
      <c r="B73" s="17" t="s">
        <v>181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122">
        <f t="shared" si="21"/>
        <v>0</v>
      </c>
    </row>
    <row r="74" spans="2:13" x14ac:dyDescent="0.25">
      <c r="B74" s="17" t="s">
        <v>37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122">
        <f t="shared" si="21"/>
        <v>0</v>
      </c>
    </row>
    <row r="75" spans="2:13" ht="12" customHeight="1" x14ac:dyDescent="0.25">
      <c r="B75" s="23"/>
      <c r="C75" s="60"/>
      <c r="D75" s="19"/>
      <c r="E75" s="60"/>
      <c r="F75" s="60"/>
      <c r="G75" s="60"/>
      <c r="H75" s="60"/>
      <c r="I75" s="19"/>
      <c r="J75" s="19"/>
      <c r="K75" s="19"/>
      <c r="L75" s="19"/>
      <c r="M75" s="122">
        <f t="shared" ref="M75" si="22">C75+D75+E75+G75+H75+I75+K75+L75</f>
        <v>0</v>
      </c>
    </row>
    <row r="76" spans="2:13" x14ac:dyDescent="0.25">
      <c r="B76" s="40" t="s">
        <v>38</v>
      </c>
      <c r="C76" s="61">
        <f t="shared" ref="C76:M76" si="23">SUM(C68:C74)</f>
        <v>0</v>
      </c>
      <c r="D76" s="61">
        <f t="shared" si="23"/>
        <v>0</v>
      </c>
      <c r="E76" s="61">
        <f t="shared" si="23"/>
        <v>0</v>
      </c>
      <c r="F76" s="61">
        <f t="shared" si="23"/>
        <v>0</v>
      </c>
      <c r="G76" s="61">
        <f t="shared" si="23"/>
        <v>0</v>
      </c>
      <c r="H76" s="61">
        <f t="shared" si="23"/>
        <v>0</v>
      </c>
      <c r="I76" s="61">
        <f t="shared" si="23"/>
        <v>0</v>
      </c>
      <c r="J76" s="61">
        <f t="shared" si="23"/>
        <v>0</v>
      </c>
      <c r="K76" s="61">
        <f t="shared" si="23"/>
        <v>0</v>
      </c>
      <c r="L76" s="61">
        <f t="shared" si="23"/>
        <v>0</v>
      </c>
      <c r="M76" s="61">
        <f t="shared" si="23"/>
        <v>0</v>
      </c>
    </row>
    <row r="77" spans="2:13" x14ac:dyDescent="0.25">
      <c r="B77" s="17"/>
      <c r="D77" s="19"/>
      <c r="I77" s="19"/>
      <c r="J77" s="19"/>
      <c r="K77" s="19"/>
      <c r="L77" s="19"/>
      <c r="M77" s="121"/>
    </row>
    <row r="78" spans="2:13" x14ac:dyDescent="0.25">
      <c r="B78" s="32" t="s">
        <v>39</v>
      </c>
      <c r="C78" s="62">
        <f t="shared" ref="C78:M78" si="24">C66+C76</f>
        <v>0</v>
      </c>
      <c r="D78" s="62">
        <f t="shared" si="24"/>
        <v>0</v>
      </c>
      <c r="E78" s="62">
        <f t="shared" si="24"/>
        <v>0</v>
      </c>
      <c r="F78" s="62">
        <f t="shared" si="24"/>
        <v>0</v>
      </c>
      <c r="G78" s="62">
        <f t="shared" si="24"/>
        <v>0</v>
      </c>
      <c r="H78" s="62">
        <f t="shared" si="24"/>
        <v>0</v>
      </c>
      <c r="I78" s="62">
        <f t="shared" si="24"/>
        <v>0</v>
      </c>
      <c r="J78" s="62">
        <f t="shared" si="24"/>
        <v>0</v>
      </c>
      <c r="K78" s="62">
        <f t="shared" si="24"/>
        <v>0</v>
      </c>
      <c r="L78" s="62">
        <f t="shared" si="24"/>
        <v>0</v>
      </c>
      <c r="M78" s="62">
        <f t="shared" si="24"/>
        <v>0</v>
      </c>
    </row>
    <row r="79" spans="2:13" x14ac:dyDescent="0.25">
      <c r="B79" s="17"/>
      <c r="C79" s="64">
        <f t="shared" ref="C79:M79" si="25">C54-C78</f>
        <v>0</v>
      </c>
      <c r="D79" s="64">
        <f t="shared" si="25"/>
        <v>0</v>
      </c>
      <c r="E79" s="64">
        <f t="shared" si="25"/>
        <v>0</v>
      </c>
      <c r="F79" s="64">
        <f t="shared" si="25"/>
        <v>0</v>
      </c>
      <c r="G79" s="64">
        <f t="shared" si="25"/>
        <v>0</v>
      </c>
      <c r="H79" s="64">
        <f t="shared" si="25"/>
        <v>0</v>
      </c>
      <c r="I79" s="64">
        <f t="shared" si="25"/>
        <v>0</v>
      </c>
      <c r="J79" s="64">
        <f t="shared" si="25"/>
        <v>0</v>
      </c>
      <c r="K79" s="64">
        <f t="shared" si="25"/>
        <v>0</v>
      </c>
      <c r="L79" s="64">
        <f t="shared" si="25"/>
        <v>0</v>
      </c>
      <c r="M79" s="137">
        <f t="shared" si="25"/>
        <v>0</v>
      </c>
    </row>
    <row r="80" spans="2:13" x14ac:dyDescent="0.25">
      <c r="B80" s="17" t="s">
        <v>40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/>
      <c r="K80" s="58">
        <v>0</v>
      </c>
      <c r="L80" s="58">
        <v>0</v>
      </c>
      <c r="M80" s="122">
        <f>SUM(C80:L80)</f>
        <v>0</v>
      </c>
    </row>
    <row r="81" spans="2:13" x14ac:dyDescent="0.25">
      <c r="B81" s="17" t="s">
        <v>41</v>
      </c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122">
        <f>SUM(C81:L81)</f>
        <v>0</v>
      </c>
    </row>
    <row r="82" spans="2:13" ht="13.5" thickBot="1" x14ac:dyDescent="0.3">
      <c r="B82" s="40" t="s">
        <v>42</v>
      </c>
      <c r="C82" s="66">
        <f t="shared" ref="C82:M82" si="26">SUM(C80:C81)</f>
        <v>0</v>
      </c>
      <c r="D82" s="66">
        <f t="shared" si="26"/>
        <v>0</v>
      </c>
      <c r="E82" s="67">
        <f t="shared" si="26"/>
        <v>0</v>
      </c>
      <c r="F82" s="67">
        <f t="shared" si="26"/>
        <v>0</v>
      </c>
      <c r="G82" s="67">
        <f t="shared" si="26"/>
        <v>0</v>
      </c>
      <c r="H82" s="67">
        <f t="shared" si="26"/>
        <v>0</v>
      </c>
      <c r="I82" s="67">
        <f t="shared" si="26"/>
        <v>0</v>
      </c>
      <c r="J82" s="67"/>
      <c r="K82" s="67">
        <f t="shared" si="26"/>
        <v>0</v>
      </c>
      <c r="L82" s="67">
        <f t="shared" si="26"/>
        <v>0</v>
      </c>
      <c r="M82" s="138">
        <f t="shared" si="26"/>
        <v>0</v>
      </c>
    </row>
    <row r="83" spans="2:13" ht="13.5" hidden="1" thickTop="1" x14ac:dyDescent="0.25">
      <c r="B83" s="40" t="s">
        <v>43</v>
      </c>
      <c r="C83" s="65"/>
      <c r="D83" s="20"/>
      <c r="E83" s="65"/>
      <c r="F83" s="65"/>
      <c r="G83" s="65"/>
      <c r="H83" s="22"/>
      <c r="I83" s="20"/>
      <c r="J83" s="20"/>
      <c r="K83" s="20"/>
      <c r="L83" s="20"/>
      <c r="M83" s="123" t="e">
        <f>C83+D83+E83+G83+H83+I83+#REF!+K83+L83+#REF!+#REF!+#REF!+#REF!+#REF!+#REF!+#REF!+#REF!</f>
        <v>#REF!</v>
      </c>
    </row>
    <row r="84" spans="2:13" ht="13.5" hidden="1" thickTop="1" x14ac:dyDescent="0.25">
      <c r="B84" s="40" t="s">
        <v>44</v>
      </c>
      <c r="C84" s="65"/>
      <c r="D84" s="20"/>
      <c r="E84" s="65"/>
      <c r="F84" s="65"/>
      <c r="G84" s="65"/>
      <c r="H84" s="65"/>
      <c r="I84" s="20"/>
      <c r="J84" s="20"/>
      <c r="K84" s="20"/>
      <c r="L84" s="20"/>
      <c r="M84" s="123" t="e">
        <f>C84+D84+E84+G84+H84+I84+#REF!+K84+L84+#REF!+#REF!+#REF!+#REF!+#REF!+#REF!+#REF!+#REF!</f>
        <v>#REF!</v>
      </c>
    </row>
    <row r="85" spans="2:13" ht="13.5" hidden="1" thickTop="1" x14ac:dyDescent="0.25">
      <c r="B85" s="40" t="s">
        <v>45</v>
      </c>
      <c r="C85" s="20">
        <f t="shared" ref="C85:M85" si="27">SUM(C86:C87)</f>
        <v>0</v>
      </c>
      <c r="D85" s="20">
        <f t="shared" si="27"/>
        <v>0</v>
      </c>
      <c r="E85" s="20">
        <f t="shared" si="27"/>
        <v>0</v>
      </c>
      <c r="F85" s="20"/>
      <c r="G85" s="20">
        <f t="shared" si="27"/>
        <v>0</v>
      </c>
      <c r="H85" s="20">
        <f t="shared" si="27"/>
        <v>0</v>
      </c>
      <c r="I85" s="20">
        <f t="shared" si="27"/>
        <v>0</v>
      </c>
      <c r="J85" s="20"/>
      <c r="K85" s="20">
        <f t="shared" si="27"/>
        <v>0</v>
      </c>
      <c r="L85" s="20">
        <f t="shared" si="27"/>
        <v>0</v>
      </c>
      <c r="M85" s="123" t="e">
        <f t="shared" si="27"/>
        <v>#REF!</v>
      </c>
    </row>
    <row r="86" spans="2:13" ht="13.5" hidden="1" thickTop="1" x14ac:dyDescent="0.25">
      <c r="B86" s="68" t="s">
        <v>46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139" t="e">
        <f>C86+D86+E86+G86+H86+I86+#REF!+K86+L86+#REF!+#REF!+#REF!+#REF!+#REF!+#REF!+#REF!+#REF!</f>
        <v>#REF!</v>
      </c>
    </row>
    <row r="87" spans="2:13" ht="13.5" hidden="1" thickTop="1" x14ac:dyDescent="0.25">
      <c r="B87" s="68" t="s">
        <v>47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140" t="e">
        <f>C87+D87+E87+G87+H87+I87+#REF!+K87+L87+#REF!+#REF!+#REF!+#REF!+#REF!+#REF!+#REF!+#REF!</f>
        <v>#REF!</v>
      </c>
    </row>
    <row r="88" spans="2:13" ht="13.5" hidden="1" thickTop="1" x14ac:dyDescent="0.25">
      <c r="B88" s="68" t="s">
        <v>48</v>
      </c>
      <c r="C88" s="65"/>
      <c r="D88" s="20"/>
      <c r="E88" s="65"/>
      <c r="F88" s="65"/>
      <c r="G88" s="65">
        <v>0</v>
      </c>
      <c r="H88" s="65"/>
      <c r="I88" s="20"/>
      <c r="J88" s="20"/>
      <c r="K88" s="20"/>
      <c r="L88" s="20"/>
      <c r="M88" s="123"/>
    </row>
    <row r="89" spans="2:13" ht="13.5" hidden="1" thickTop="1" x14ac:dyDescent="0.25">
      <c r="B89" s="71" t="s">
        <v>49</v>
      </c>
      <c r="C89" s="65"/>
      <c r="D89" s="20"/>
      <c r="E89" s="65"/>
      <c r="F89" s="65"/>
      <c r="G89" s="65"/>
      <c r="H89" s="65"/>
      <c r="I89" s="20"/>
      <c r="J89" s="20"/>
      <c r="K89" s="20"/>
      <c r="L89" s="20"/>
      <c r="M89" s="123"/>
    </row>
    <row r="90" spans="2:13" ht="13.5" hidden="1" thickTop="1" x14ac:dyDescent="0.25">
      <c r="B90" s="3" t="s">
        <v>50</v>
      </c>
      <c r="D90" s="20"/>
      <c r="I90" s="20"/>
      <c r="J90" s="20"/>
      <c r="K90" s="20"/>
      <c r="L90" s="20"/>
      <c r="M90" s="123"/>
    </row>
    <row r="91" spans="2:13" ht="13.5" hidden="1" thickTop="1" x14ac:dyDescent="0.25">
      <c r="B91" s="72" t="s">
        <v>51</v>
      </c>
      <c r="C91" s="73"/>
      <c r="D91" s="73"/>
      <c r="E91" s="73"/>
      <c r="F91" s="73"/>
      <c r="G91" s="73"/>
      <c r="H91" s="73"/>
      <c r="I91" s="72"/>
      <c r="J91" s="72"/>
      <c r="K91" s="74"/>
      <c r="L91" s="73"/>
      <c r="M91" s="124" t="e">
        <f>C91+D91+E91+G91+H91+I91+#REF!+K91+L91+#REF!+#REF!+#REF!+#REF!+#REF!+#REF!+#REF!+#REF!</f>
        <v>#REF!</v>
      </c>
    </row>
    <row r="92" spans="2:13" ht="13.5" hidden="1" thickTop="1" x14ac:dyDescent="0.25"/>
    <row r="93" spans="2:13" ht="13.5" thickTop="1" x14ac:dyDescent="0.25">
      <c r="B93" s="56"/>
      <c r="C93" s="56"/>
      <c r="D93" s="75"/>
      <c r="E93" s="56"/>
      <c r="F93" s="56"/>
      <c r="G93" s="56"/>
      <c r="H93" s="56"/>
      <c r="I93" s="56"/>
      <c r="J93" s="56"/>
      <c r="K93" s="75"/>
      <c r="L93" s="75"/>
      <c r="M93" s="141"/>
    </row>
    <row r="94" spans="2:13" x14ac:dyDescent="0.25">
      <c r="B94" s="10" t="s">
        <v>52</v>
      </c>
      <c r="C94" s="10"/>
      <c r="D94" s="77"/>
      <c r="E94" s="10"/>
      <c r="F94" s="10"/>
      <c r="G94" s="10"/>
      <c r="H94" s="10"/>
      <c r="I94" s="77"/>
      <c r="J94" s="77"/>
      <c r="K94" s="77"/>
      <c r="L94" s="77"/>
      <c r="M94" s="142"/>
    </row>
    <row r="95" spans="2:13" x14ac:dyDescent="0.25">
      <c r="B95" s="56" t="s">
        <v>53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122">
        <f>SUM(C95:L95)</f>
        <v>0</v>
      </c>
    </row>
    <row r="96" spans="2:13" x14ac:dyDescent="0.25">
      <c r="B96" s="52"/>
      <c r="C96" s="52"/>
      <c r="D96" s="79"/>
      <c r="E96" s="52"/>
      <c r="F96" s="52"/>
      <c r="G96" s="52"/>
      <c r="H96" s="52"/>
      <c r="I96" s="81"/>
      <c r="J96" s="81"/>
      <c r="K96" s="81"/>
      <c r="L96" s="81"/>
      <c r="M96" s="143"/>
    </row>
    <row r="97" spans="2:13" ht="13.5" thickBot="1" x14ac:dyDescent="0.3">
      <c r="B97" s="82" t="s">
        <v>54</v>
      </c>
      <c r="C97" s="83"/>
      <c r="D97" s="84"/>
      <c r="E97" s="83"/>
      <c r="F97" s="83"/>
      <c r="G97" s="83"/>
      <c r="H97" s="83"/>
      <c r="I97" s="84"/>
      <c r="J97" s="84"/>
      <c r="K97" s="84"/>
      <c r="L97" s="84"/>
      <c r="M97" s="144"/>
    </row>
    <row r="98" spans="2:13" x14ac:dyDescent="0.25">
      <c r="B98" s="85" t="s">
        <v>55</v>
      </c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122">
        <f>SUM(C98:L98)</f>
        <v>0</v>
      </c>
    </row>
    <row r="99" spans="2:13" ht="13.5" thickBot="1" x14ac:dyDescent="0.3">
      <c r="B99" s="87" t="s">
        <v>56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122">
        <f>SUM(C99:L99)</f>
        <v>0</v>
      </c>
    </row>
    <row r="100" spans="2:13" ht="13.5" thickBot="1" x14ac:dyDescent="0.3">
      <c r="B100" s="89" t="s">
        <v>57</v>
      </c>
      <c r="C100" s="90">
        <f t="shared" ref="C100:M100" si="28">SUM(C98:C99)</f>
        <v>0</v>
      </c>
      <c r="D100" s="90">
        <f t="shared" si="28"/>
        <v>0</v>
      </c>
      <c r="E100" s="90">
        <f t="shared" si="28"/>
        <v>0</v>
      </c>
      <c r="F100" s="90">
        <f t="shared" si="28"/>
        <v>0</v>
      </c>
      <c r="G100" s="90">
        <f t="shared" si="28"/>
        <v>0</v>
      </c>
      <c r="H100" s="90">
        <f t="shared" si="28"/>
        <v>0</v>
      </c>
      <c r="I100" s="90">
        <f t="shared" si="28"/>
        <v>0</v>
      </c>
      <c r="J100" s="90">
        <f t="shared" si="28"/>
        <v>0</v>
      </c>
      <c r="K100" s="90">
        <f t="shared" si="28"/>
        <v>0</v>
      </c>
      <c r="L100" s="90">
        <f t="shared" si="28"/>
        <v>0</v>
      </c>
      <c r="M100" s="145">
        <f t="shared" si="28"/>
        <v>0</v>
      </c>
    </row>
    <row r="101" spans="2:13" ht="14.45" hidden="1" customHeight="1" x14ac:dyDescent="0.25"/>
    <row r="102" spans="2:13" ht="14.45" hidden="1" customHeight="1" x14ac:dyDescent="0.25"/>
    <row r="103" spans="2:13" ht="13.9" hidden="1" customHeight="1" x14ac:dyDescent="0.25">
      <c r="B103" s="91" t="s">
        <v>58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146"/>
    </row>
    <row r="104" spans="2:13" ht="13.9" hidden="1" customHeight="1" x14ac:dyDescent="0.25">
      <c r="B104" s="93" t="s">
        <v>59</v>
      </c>
      <c r="C104" s="20" t="e">
        <f>IF(#REF!&gt;#REF!,#REF!-#REF!,0)</f>
        <v>#REF!</v>
      </c>
      <c r="D104" s="20" t="e">
        <f>IF(#REF!&gt;#REF!,#REF!-#REF!,0)</f>
        <v>#REF!</v>
      </c>
      <c r="E104" s="20" t="e">
        <f>IF(#REF!&gt;#REF!,#REF!-#REF!,0)</f>
        <v>#REF!</v>
      </c>
      <c r="F104" s="20" t="e">
        <f>IF(#REF!&gt;#REF!,#REF!-#REF!,0)</f>
        <v>#REF!</v>
      </c>
      <c r="G104" s="20" t="e">
        <f>IF(#REF!&gt;#REF!,#REF!-#REF!,0)</f>
        <v>#REF!</v>
      </c>
      <c r="H104" s="20" t="e">
        <f>IF(#REF!&gt;#REF!,#REF!-#REF!,0)</f>
        <v>#REF!</v>
      </c>
      <c r="I104" s="20" t="e">
        <f>IF(#REF!&gt;#REF!,#REF!-#REF!,0)</f>
        <v>#REF!</v>
      </c>
      <c r="J104" s="20"/>
      <c r="K104" s="20" t="e">
        <f>IF(#REF!&gt;#REF!,#REF!-#REF!,0)</f>
        <v>#REF!</v>
      </c>
      <c r="L104" s="20" t="e">
        <f>IF(#REF!&gt;#REF!,#REF!-#REF!,0)</f>
        <v>#REF!</v>
      </c>
      <c r="M104" s="123" t="e">
        <f>IF(#REF!&gt;#REF!,#REF!-#REF!,0)</f>
        <v>#REF!</v>
      </c>
    </row>
    <row r="105" spans="2:13" ht="13.9" hidden="1" customHeight="1" x14ac:dyDescent="0.25">
      <c r="B105" s="93" t="s">
        <v>60</v>
      </c>
      <c r="C105" s="94" t="e">
        <f>'[1]Scenarios and assumptions'!#REF!</f>
        <v>#REF!</v>
      </c>
      <c r="D105" s="94" t="e">
        <f>'[1]Scenarios and assumptions'!#REF!</f>
        <v>#REF!</v>
      </c>
      <c r="E105" s="94" t="e">
        <f>'[1]Scenarios and assumptions'!#REF!</f>
        <v>#REF!</v>
      </c>
      <c r="F105" s="94" t="e">
        <f>'[1]Scenarios and assumptions'!#REF!</f>
        <v>#REF!</v>
      </c>
      <c r="G105" s="94" t="e">
        <f>'[1]Scenarios and assumptions'!#REF!</f>
        <v>#REF!</v>
      </c>
      <c r="H105" s="94" t="e">
        <f>'[1]Scenarios and assumptions'!#REF!</f>
        <v>#REF!</v>
      </c>
      <c r="I105" s="94" t="str">
        <f>'[1]Scenarios and assumptions'!B36</f>
        <v>Target dividend payout ratio</v>
      </c>
      <c r="J105" s="94"/>
      <c r="K105" s="94">
        <f>'[1]Scenarios and assumptions'!H36</f>
        <v>0</v>
      </c>
      <c r="L105" s="94">
        <f>'[1]Scenarios and assumptions'!K36</f>
        <v>0</v>
      </c>
      <c r="M105" s="147">
        <f>'[1]Scenarios and assumptions'!AI36</f>
        <v>0</v>
      </c>
    </row>
    <row r="106" spans="2:13" ht="13.9" hidden="1" customHeight="1" x14ac:dyDescent="0.25">
      <c r="B106" s="93" t="s">
        <v>61</v>
      </c>
      <c r="C106" s="95" t="e">
        <f t="shared" ref="C106:M106" si="29">C104*C105</f>
        <v>#REF!</v>
      </c>
      <c r="D106" s="95" t="e">
        <f t="shared" si="29"/>
        <v>#REF!</v>
      </c>
      <c r="E106" s="95" t="e">
        <f t="shared" si="29"/>
        <v>#REF!</v>
      </c>
      <c r="F106" s="95" t="e">
        <f t="shared" si="29"/>
        <v>#REF!</v>
      </c>
      <c r="G106" s="95" t="e">
        <f t="shared" si="29"/>
        <v>#REF!</v>
      </c>
      <c r="H106" s="95" t="e">
        <f t="shared" si="29"/>
        <v>#REF!</v>
      </c>
      <c r="I106" s="95" t="e">
        <f t="shared" si="29"/>
        <v>#REF!</v>
      </c>
      <c r="J106" s="95"/>
      <c r="K106" s="95" t="e">
        <f t="shared" si="29"/>
        <v>#REF!</v>
      </c>
      <c r="L106" s="95" t="e">
        <f t="shared" si="29"/>
        <v>#REF!</v>
      </c>
      <c r="M106" s="148" t="e">
        <f t="shared" si="29"/>
        <v>#REF!</v>
      </c>
    </row>
    <row r="107" spans="2:13" ht="13.9" hidden="1" customHeight="1" x14ac:dyDescent="0.25"/>
    <row r="108" spans="2:13" ht="13.9" hidden="1" customHeight="1" x14ac:dyDescent="0.25">
      <c r="C108" s="46" t="e">
        <f>(#REF!+#REF!)/#REF!</f>
        <v>#REF!</v>
      </c>
      <c r="D108" s="46" t="e">
        <f>(#REF!+#REF!)/#REF!</f>
        <v>#REF!</v>
      </c>
      <c r="E108" s="46" t="e">
        <f>(#REF!+#REF!)/#REF!</f>
        <v>#REF!</v>
      </c>
      <c r="F108" s="46" t="e">
        <f>(#REF!+#REF!)/#REF!</f>
        <v>#REF!</v>
      </c>
      <c r="G108" s="46" t="e">
        <f>(#REF!+#REF!)/#REF!</f>
        <v>#REF!</v>
      </c>
      <c r="H108" s="46" t="e">
        <f>(#REF!+#REF!)/#REF!</f>
        <v>#REF!</v>
      </c>
      <c r="I108" s="46" t="e">
        <f>(#REF!+#REF!)/#REF!</f>
        <v>#REF!</v>
      </c>
      <c r="J108" s="46"/>
      <c r="K108" s="46" t="e">
        <f>(#REF!+#REF!)/#REF!</f>
        <v>#REF!</v>
      </c>
      <c r="L108" s="46" t="e">
        <f>(#REF!+#REF!)/#REF!</f>
        <v>#REF!</v>
      </c>
      <c r="M108" s="133" t="e">
        <f>(#REF!+#REF!)/#REF!</f>
        <v>#REF!</v>
      </c>
    </row>
    <row r="109" spans="2:13" ht="14.45" hidden="1" customHeight="1" x14ac:dyDescent="0.25"/>
    <row r="110" spans="2:13" ht="14.45" hidden="1" customHeight="1" x14ac:dyDescent="0.25">
      <c r="B110" s="96" t="s">
        <v>62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149"/>
    </row>
    <row r="111" spans="2:13" ht="14.45" hidden="1" customHeight="1" x14ac:dyDescent="0.25">
      <c r="B111" s="98" t="s">
        <v>55</v>
      </c>
      <c r="C111" s="99" t="e">
        <f>C98/#REF!</f>
        <v>#REF!</v>
      </c>
      <c r="D111" s="99" t="e">
        <f>D98/#REF!</f>
        <v>#REF!</v>
      </c>
      <c r="E111" s="99" t="e">
        <f>E98/#REF!</f>
        <v>#REF!</v>
      </c>
      <c r="F111" s="99" t="e">
        <f>F98/#REF!</f>
        <v>#REF!</v>
      </c>
      <c r="G111" s="99" t="e">
        <f>G98/#REF!</f>
        <v>#REF!</v>
      </c>
      <c r="H111" s="99" t="e">
        <f>H98/#REF!</f>
        <v>#REF!</v>
      </c>
      <c r="I111" s="99" t="e">
        <f>I98/#REF!</f>
        <v>#REF!</v>
      </c>
      <c r="J111" s="99"/>
      <c r="K111" s="99" t="e">
        <f>K98/#REF!</f>
        <v>#REF!</v>
      </c>
      <c r="L111" s="99" t="e">
        <f>L98/#REF!</f>
        <v>#REF!</v>
      </c>
      <c r="M111" s="150" t="e">
        <f>M98/#REF!</f>
        <v>#REF!</v>
      </c>
    </row>
    <row r="112" spans="2:13" ht="14.45" hidden="1" customHeight="1" x14ac:dyDescent="0.25">
      <c r="B112" s="100" t="s">
        <v>56</v>
      </c>
      <c r="C112" s="101" t="e">
        <f>C99/#REF!</f>
        <v>#REF!</v>
      </c>
      <c r="D112" s="101" t="e">
        <f>D99/#REF!</f>
        <v>#REF!</v>
      </c>
      <c r="E112" s="101" t="e">
        <f>E99/#REF!</f>
        <v>#REF!</v>
      </c>
      <c r="F112" s="101" t="e">
        <f>F99/#REF!</f>
        <v>#REF!</v>
      </c>
      <c r="G112" s="101" t="e">
        <f>G99/#REF!</f>
        <v>#REF!</v>
      </c>
      <c r="H112" s="101" t="e">
        <f>H99/#REF!</f>
        <v>#REF!</v>
      </c>
      <c r="I112" s="101" t="e">
        <f>I99/#REF!</f>
        <v>#REF!</v>
      </c>
      <c r="J112" s="101"/>
      <c r="K112" s="101" t="e">
        <f>K99/#REF!</f>
        <v>#REF!</v>
      </c>
      <c r="L112" s="101" t="e">
        <f>L99/#REF!</f>
        <v>#REF!</v>
      </c>
      <c r="M112" s="151" t="e">
        <f>M99/#REF!</f>
        <v>#REF!</v>
      </c>
    </row>
    <row r="113" spans="2:13" ht="14.45" hidden="1" customHeight="1" x14ac:dyDescent="0.25">
      <c r="B113" s="102" t="s">
        <v>57</v>
      </c>
      <c r="C113" s="103" t="e">
        <f>C100/#REF!</f>
        <v>#REF!</v>
      </c>
      <c r="D113" s="103" t="e">
        <f>D100/#REF!</f>
        <v>#REF!</v>
      </c>
      <c r="E113" s="103" t="e">
        <f>E100/#REF!</f>
        <v>#REF!</v>
      </c>
      <c r="F113" s="103" t="e">
        <f>F100/#REF!</f>
        <v>#REF!</v>
      </c>
      <c r="G113" s="103" t="e">
        <f>G100/#REF!</f>
        <v>#REF!</v>
      </c>
      <c r="H113" s="103" t="e">
        <f>H100/#REF!</f>
        <v>#REF!</v>
      </c>
      <c r="I113" s="103" t="e">
        <f>I100/#REF!</f>
        <v>#REF!</v>
      </c>
      <c r="J113" s="103"/>
      <c r="K113" s="103" t="e">
        <f>K100/#REF!</f>
        <v>#REF!</v>
      </c>
      <c r="L113" s="103" t="e">
        <f>L100/#REF!</f>
        <v>#REF!</v>
      </c>
      <c r="M113" s="152" t="e">
        <f>M100/#REF!</f>
        <v>#REF!</v>
      </c>
    </row>
    <row r="114" spans="2:13" ht="14.45" hidden="1" customHeight="1" x14ac:dyDescent="0.25"/>
    <row r="115" spans="2:13" ht="14.45" hidden="1" customHeight="1" x14ac:dyDescent="0.25"/>
    <row r="116" spans="2:13" ht="14.45" hidden="1" customHeight="1" x14ac:dyDescent="0.25">
      <c r="B116" s="96" t="s">
        <v>63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149"/>
    </row>
    <row r="117" spans="2:13" ht="14.45" hidden="1" customHeight="1" x14ac:dyDescent="0.25">
      <c r="B117" s="104" t="s">
        <v>55</v>
      </c>
      <c r="C117" s="105" t="e">
        <f>+SUM(C68:C68,C72)/#REF!</f>
        <v>#REF!</v>
      </c>
      <c r="D117" s="105" t="e">
        <f>+SUM(D68:D68,D72)/#REF!</f>
        <v>#REF!</v>
      </c>
      <c r="E117" s="105" t="e">
        <f>+SUM(E68:E68,E72)/#REF!</f>
        <v>#REF!</v>
      </c>
      <c r="F117" s="105" t="e">
        <f>+SUM(F68:F68,F72)/#REF!</f>
        <v>#REF!</v>
      </c>
      <c r="G117" s="105" t="e">
        <f>+SUM(G68:G68,G72)/#REF!</f>
        <v>#REF!</v>
      </c>
      <c r="H117" s="105" t="e">
        <f>+SUM(H68:H68,H72)/#REF!</f>
        <v>#REF!</v>
      </c>
      <c r="I117" s="105" t="e">
        <f>+SUM(I68:I68,I72)/#REF!</f>
        <v>#REF!</v>
      </c>
      <c r="J117" s="105"/>
      <c r="K117" s="105" t="e">
        <f>+SUM(K68:K68,K72)/#REF!</f>
        <v>#REF!</v>
      </c>
      <c r="L117" s="105" t="e">
        <f>+SUM(L68:L68,L72)/#REF!</f>
        <v>#REF!</v>
      </c>
      <c r="M117" s="150" t="e">
        <f>+SUM(M68:M68,M72)/#REF!</f>
        <v>#REF!</v>
      </c>
    </row>
    <row r="118" spans="2:13" ht="14.45" hidden="1" customHeight="1" x14ac:dyDescent="0.25">
      <c r="B118" s="106" t="s">
        <v>56</v>
      </c>
      <c r="C118" s="107" t="e">
        <f>SUM(C63,#REF!)/#REF!</f>
        <v>#REF!</v>
      </c>
      <c r="D118" s="107" t="e">
        <f>SUM(D63,#REF!)/#REF!</f>
        <v>#REF!</v>
      </c>
      <c r="E118" s="107" t="e">
        <f>SUM(E63,#REF!)/#REF!</f>
        <v>#REF!</v>
      </c>
      <c r="F118" s="107" t="e">
        <f>SUM(F63,#REF!)/#REF!</f>
        <v>#REF!</v>
      </c>
      <c r="G118" s="107" t="e">
        <f>SUM(G63,#REF!)/#REF!</f>
        <v>#REF!</v>
      </c>
      <c r="H118" s="107" t="e">
        <f>SUM(H63,#REF!)/#REF!</f>
        <v>#REF!</v>
      </c>
      <c r="I118" s="107" t="e">
        <f>SUM(I63,#REF!)/#REF!</f>
        <v>#REF!</v>
      </c>
      <c r="J118" s="107"/>
      <c r="K118" s="107" t="e">
        <f>SUM(K63,#REF!)/#REF!</f>
        <v>#REF!</v>
      </c>
      <c r="L118" s="107" t="e">
        <f>SUM(L63,#REF!)/#REF!</f>
        <v>#REF!</v>
      </c>
      <c r="M118" s="151" t="e">
        <f>SUM(M63,#REF!)/#REF!</f>
        <v>#REF!</v>
      </c>
    </row>
    <row r="119" spans="2:13" ht="14.45" hidden="1" customHeight="1" x14ac:dyDescent="0.25">
      <c r="B119" s="108" t="s">
        <v>57</v>
      </c>
      <c r="C119" s="109" t="e">
        <f t="shared" ref="C119:M119" si="30">+C117+C118</f>
        <v>#REF!</v>
      </c>
      <c r="D119" s="109" t="e">
        <f t="shared" si="30"/>
        <v>#REF!</v>
      </c>
      <c r="E119" s="109" t="e">
        <f t="shared" si="30"/>
        <v>#REF!</v>
      </c>
      <c r="F119" s="109" t="e">
        <f t="shared" si="30"/>
        <v>#REF!</v>
      </c>
      <c r="G119" s="109" t="e">
        <f t="shared" si="30"/>
        <v>#REF!</v>
      </c>
      <c r="H119" s="109" t="e">
        <f t="shared" si="30"/>
        <v>#REF!</v>
      </c>
      <c r="I119" s="109" t="e">
        <f t="shared" si="30"/>
        <v>#REF!</v>
      </c>
      <c r="J119" s="109"/>
      <c r="K119" s="109" t="e">
        <f t="shared" si="30"/>
        <v>#REF!</v>
      </c>
      <c r="L119" s="109" t="e">
        <f t="shared" si="30"/>
        <v>#REF!</v>
      </c>
      <c r="M119" s="152" t="e">
        <f t="shared" si="30"/>
        <v>#REF!</v>
      </c>
    </row>
    <row r="120" spans="2:13" ht="13.5" thickBot="1" x14ac:dyDescent="0.3">
      <c r="B120" s="110" t="s">
        <v>64</v>
      </c>
      <c r="C120" s="111" t="e">
        <f t="shared" ref="C120:M120" si="31">C100/C95</f>
        <v>#DIV/0!</v>
      </c>
      <c r="D120" s="111" t="e">
        <f t="shared" si="31"/>
        <v>#DIV/0!</v>
      </c>
      <c r="E120" s="111" t="e">
        <f t="shared" si="31"/>
        <v>#DIV/0!</v>
      </c>
      <c r="F120" s="111" t="e">
        <f t="shared" si="31"/>
        <v>#DIV/0!</v>
      </c>
      <c r="G120" s="111" t="e">
        <f t="shared" si="31"/>
        <v>#DIV/0!</v>
      </c>
      <c r="H120" s="111" t="e">
        <f t="shared" si="31"/>
        <v>#DIV/0!</v>
      </c>
      <c r="I120" s="111" t="e">
        <f t="shared" si="31"/>
        <v>#DIV/0!</v>
      </c>
      <c r="J120" s="111" t="e">
        <f t="shared" si="31"/>
        <v>#DIV/0!</v>
      </c>
      <c r="K120" s="111" t="e">
        <f t="shared" si="31"/>
        <v>#DIV/0!</v>
      </c>
      <c r="L120" s="111" t="e">
        <f t="shared" si="31"/>
        <v>#DIV/0!</v>
      </c>
      <c r="M120" s="153" t="e">
        <f t="shared" si="31"/>
        <v>#DIV/0!</v>
      </c>
    </row>
    <row r="121" spans="2:13" ht="13.5" thickBot="1" x14ac:dyDescent="0.3">
      <c r="B121" s="82" t="s">
        <v>54</v>
      </c>
      <c r="C121" s="83"/>
      <c r="D121" s="84"/>
      <c r="E121" s="83"/>
      <c r="F121" s="83"/>
      <c r="G121" s="83"/>
      <c r="H121" s="83"/>
      <c r="I121" s="84"/>
      <c r="J121" s="84"/>
      <c r="K121" s="84"/>
      <c r="L121" s="84"/>
      <c r="M121" s="144"/>
    </row>
    <row r="122" spans="2:13" x14ac:dyDescent="0.25">
      <c r="B122" s="85" t="s">
        <v>55</v>
      </c>
      <c r="C122" s="112" t="e">
        <f t="shared" ref="C122:M123" si="32">C98/C$95</f>
        <v>#DIV/0!</v>
      </c>
      <c r="D122" s="112" t="e">
        <f t="shared" si="32"/>
        <v>#DIV/0!</v>
      </c>
      <c r="E122" s="112" t="e">
        <f t="shared" si="32"/>
        <v>#DIV/0!</v>
      </c>
      <c r="F122" s="112" t="e">
        <f t="shared" si="32"/>
        <v>#DIV/0!</v>
      </c>
      <c r="G122" s="112" t="e">
        <f t="shared" si="32"/>
        <v>#DIV/0!</v>
      </c>
      <c r="H122" s="112" t="e">
        <f t="shared" si="32"/>
        <v>#DIV/0!</v>
      </c>
      <c r="I122" s="112" t="e">
        <f t="shared" si="32"/>
        <v>#DIV/0!</v>
      </c>
      <c r="J122" s="112" t="e">
        <f t="shared" si="32"/>
        <v>#DIV/0!</v>
      </c>
      <c r="K122" s="112" t="e">
        <f t="shared" si="32"/>
        <v>#DIV/0!</v>
      </c>
      <c r="L122" s="112" t="e">
        <f t="shared" si="32"/>
        <v>#DIV/0!</v>
      </c>
      <c r="M122" s="150" t="e">
        <f t="shared" si="32"/>
        <v>#DIV/0!</v>
      </c>
    </row>
    <row r="123" spans="2:13" x14ac:dyDescent="0.25">
      <c r="B123" s="87" t="s">
        <v>56</v>
      </c>
      <c r="C123" s="113" t="e">
        <f t="shared" si="32"/>
        <v>#DIV/0!</v>
      </c>
      <c r="D123" s="113" t="e">
        <f t="shared" si="32"/>
        <v>#DIV/0!</v>
      </c>
      <c r="E123" s="113" t="e">
        <f t="shared" si="32"/>
        <v>#DIV/0!</v>
      </c>
      <c r="F123" s="113" t="e">
        <f t="shared" si="32"/>
        <v>#DIV/0!</v>
      </c>
      <c r="G123" s="113" t="e">
        <f t="shared" si="32"/>
        <v>#DIV/0!</v>
      </c>
      <c r="H123" s="113" t="e">
        <f t="shared" si="32"/>
        <v>#DIV/0!</v>
      </c>
      <c r="I123" s="113" t="e">
        <f t="shared" si="32"/>
        <v>#DIV/0!</v>
      </c>
      <c r="J123" s="113" t="e">
        <f t="shared" si="32"/>
        <v>#DIV/0!</v>
      </c>
      <c r="K123" s="113" t="e">
        <f t="shared" si="32"/>
        <v>#DIV/0!</v>
      </c>
      <c r="L123" s="113" t="e">
        <f t="shared" si="32"/>
        <v>#DIV/0!</v>
      </c>
      <c r="M123" s="151" t="e">
        <f t="shared" si="32"/>
        <v>#DIV/0!</v>
      </c>
    </row>
    <row r="124" spans="2:13" ht="16.899999999999999" customHeight="1" thickBot="1" x14ac:dyDescent="0.3">
      <c r="B124" s="89" t="s">
        <v>57</v>
      </c>
      <c r="C124" s="114" t="e">
        <f>SUM(C122:C123)</f>
        <v>#DIV/0!</v>
      </c>
      <c r="D124" s="114" t="e">
        <f t="shared" ref="D124:M124" si="33">SUM(D122:D123)</f>
        <v>#DIV/0!</v>
      </c>
      <c r="E124" s="114" t="e">
        <f t="shared" si="33"/>
        <v>#DIV/0!</v>
      </c>
      <c r="F124" s="114" t="e">
        <f t="shared" si="33"/>
        <v>#DIV/0!</v>
      </c>
      <c r="G124" s="114" t="e">
        <f t="shared" si="33"/>
        <v>#DIV/0!</v>
      </c>
      <c r="H124" s="114" t="e">
        <f t="shared" si="33"/>
        <v>#DIV/0!</v>
      </c>
      <c r="I124" s="114" t="e">
        <f t="shared" si="33"/>
        <v>#DIV/0!</v>
      </c>
      <c r="J124" s="114" t="e">
        <f t="shared" si="33"/>
        <v>#DIV/0!</v>
      </c>
      <c r="K124" s="114" t="e">
        <f t="shared" si="33"/>
        <v>#DIV/0!</v>
      </c>
      <c r="L124" s="114" t="e">
        <f t="shared" si="33"/>
        <v>#DIV/0!</v>
      </c>
      <c r="M124" s="154" t="e">
        <f t="shared" si="33"/>
        <v>#DIV/0!</v>
      </c>
    </row>
    <row r="125" spans="2:13" ht="16.899999999999999" customHeight="1" x14ac:dyDescent="0.25">
      <c r="B125" s="3" t="s">
        <v>148</v>
      </c>
      <c r="C125" s="184">
        <v>2500</v>
      </c>
      <c r="D125" s="184">
        <v>2500</v>
      </c>
      <c r="E125" s="184">
        <v>2500</v>
      </c>
      <c r="F125" s="184">
        <v>50000</v>
      </c>
      <c r="G125" s="184">
        <v>2500</v>
      </c>
      <c r="H125" s="184">
        <v>2500</v>
      </c>
      <c r="I125" s="184">
        <v>2500</v>
      </c>
      <c r="J125" s="184">
        <v>50000</v>
      </c>
      <c r="K125" s="184">
        <v>2500</v>
      </c>
      <c r="L125" s="184">
        <v>50000</v>
      </c>
      <c r="M125" s="183"/>
    </row>
    <row r="126" spans="2:13" ht="16.899999999999999" customHeight="1" x14ac:dyDescent="0.25">
      <c r="B126" s="3" t="s">
        <v>150</v>
      </c>
      <c r="C126" s="184">
        <f>0.15*C95</f>
        <v>0</v>
      </c>
      <c r="D126" s="184">
        <f t="shared" ref="D126:K126" si="34">0.15*D95</f>
        <v>0</v>
      </c>
      <c r="E126" s="184">
        <f t="shared" si="34"/>
        <v>0</v>
      </c>
      <c r="F126" s="184">
        <f t="shared" si="34"/>
        <v>0</v>
      </c>
      <c r="G126" s="184">
        <f t="shared" si="34"/>
        <v>0</v>
      </c>
      <c r="H126" s="184">
        <f t="shared" si="34"/>
        <v>0</v>
      </c>
      <c r="I126" s="184">
        <f t="shared" si="34"/>
        <v>0</v>
      </c>
      <c r="J126" s="184">
        <f>0.1*J95</f>
        <v>0</v>
      </c>
      <c r="K126" s="184">
        <f t="shared" si="34"/>
        <v>0</v>
      </c>
      <c r="L126" s="184">
        <f>0.1*L95</f>
        <v>0</v>
      </c>
      <c r="M126" s="183"/>
    </row>
    <row r="127" spans="2:13" ht="16.899999999999999" customHeight="1" x14ac:dyDescent="0.25">
      <c r="B127" s="3" t="s">
        <v>149</v>
      </c>
      <c r="C127" s="184">
        <f>IF(C125&gt;C126,C100-C125,C100-C126)</f>
        <v>-2500</v>
      </c>
      <c r="D127" s="184">
        <f t="shared" ref="D127:L127" si="35">IF(D125&gt;D126,D100-D125,D100-D126)</f>
        <v>-2500</v>
      </c>
      <c r="E127" s="184">
        <f t="shared" si="35"/>
        <v>-2500</v>
      </c>
      <c r="F127" s="184">
        <f t="shared" si="35"/>
        <v>-50000</v>
      </c>
      <c r="G127" s="184">
        <f t="shared" si="35"/>
        <v>-2500</v>
      </c>
      <c r="H127" s="184">
        <f t="shared" si="35"/>
        <v>-2500</v>
      </c>
      <c r="I127" s="184">
        <f t="shared" si="35"/>
        <v>-2500</v>
      </c>
      <c r="J127" s="184">
        <f t="shared" si="35"/>
        <v>-50000</v>
      </c>
      <c r="K127" s="184">
        <f t="shared" si="35"/>
        <v>-2500</v>
      </c>
      <c r="L127" s="184">
        <f t="shared" si="35"/>
        <v>-50000</v>
      </c>
      <c r="M127" s="183"/>
    </row>
    <row r="128" spans="2:13" ht="16.899999999999999" customHeight="1" x14ac:dyDescent="0.25"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3"/>
    </row>
    <row r="129" spans="2:13" ht="16.899999999999999" customHeight="1" x14ac:dyDescent="0.25">
      <c r="B129" s="181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3"/>
    </row>
    <row r="131" spans="2:13" x14ac:dyDescent="0.25">
      <c r="B131" s="160" t="s">
        <v>110</v>
      </c>
    </row>
    <row r="132" spans="2:13" x14ac:dyDescent="0.25">
      <c r="B132" s="157" t="s">
        <v>87</v>
      </c>
    </row>
    <row r="133" spans="2:13" x14ac:dyDescent="0.25">
      <c r="B133" s="158" t="s">
        <v>88</v>
      </c>
    </row>
    <row r="134" spans="2:13" x14ac:dyDescent="0.25">
      <c r="B134" s="158" t="s">
        <v>89</v>
      </c>
    </row>
    <row r="135" spans="2:13" x14ac:dyDescent="0.25">
      <c r="B135" s="158" t="s">
        <v>111</v>
      </c>
    </row>
    <row r="136" spans="2:13" x14ac:dyDescent="0.25">
      <c r="B136" s="158" t="s">
        <v>112</v>
      </c>
    </row>
    <row r="137" spans="2:13" x14ac:dyDescent="0.25">
      <c r="B137" s="159" t="s">
        <v>90</v>
      </c>
    </row>
    <row r="138" spans="2:13" x14ac:dyDescent="0.25">
      <c r="B138" s="160" t="s">
        <v>91</v>
      </c>
    </row>
    <row r="139" spans="2:13" x14ac:dyDescent="0.25">
      <c r="B139" s="157" t="s">
        <v>92</v>
      </c>
      <c r="C139" s="290" t="e">
        <f t="shared" ref="C139:M139" si="36">-C34/(C21+C25)</f>
        <v>#DIV/0!</v>
      </c>
      <c r="D139" s="290" t="e">
        <f t="shared" si="36"/>
        <v>#DIV/0!</v>
      </c>
      <c r="E139" s="290" t="e">
        <f t="shared" si="36"/>
        <v>#DIV/0!</v>
      </c>
      <c r="F139" s="290" t="e">
        <f t="shared" si="36"/>
        <v>#DIV/0!</v>
      </c>
      <c r="G139" s="290" t="e">
        <f t="shared" si="36"/>
        <v>#DIV/0!</v>
      </c>
      <c r="H139" s="290" t="e">
        <f t="shared" si="36"/>
        <v>#DIV/0!</v>
      </c>
      <c r="I139" s="290" t="e">
        <f t="shared" si="36"/>
        <v>#DIV/0!</v>
      </c>
      <c r="J139" s="290" t="e">
        <f t="shared" si="36"/>
        <v>#DIV/0!</v>
      </c>
      <c r="K139" s="290" t="e">
        <f t="shared" si="36"/>
        <v>#DIV/0!</v>
      </c>
      <c r="L139" s="290" t="e">
        <f t="shared" si="36"/>
        <v>#DIV/0!</v>
      </c>
      <c r="M139" s="290" t="e">
        <f t="shared" si="36"/>
        <v>#DIV/0!</v>
      </c>
    </row>
    <row r="140" spans="2:13" x14ac:dyDescent="0.25">
      <c r="B140" s="161" t="s">
        <v>93</v>
      </c>
      <c r="C140" s="3" t="e">
        <f>C25/C29</f>
        <v>#DIV/0!</v>
      </c>
      <c r="D140" s="290" t="e">
        <f t="shared" ref="D140:M140" si="37">D25/(D21+D25)</f>
        <v>#DIV/0!</v>
      </c>
      <c r="E140" s="290" t="e">
        <f t="shared" si="37"/>
        <v>#DIV/0!</v>
      </c>
      <c r="F140" s="290" t="e">
        <f t="shared" si="37"/>
        <v>#DIV/0!</v>
      </c>
      <c r="G140" s="290" t="e">
        <f t="shared" si="37"/>
        <v>#DIV/0!</v>
      </c>
      <c r="H140" s="290" t="e">
        <f t="shared" si="37"/>
        <v>#DIV/0!</v>
      </c>
      <c r="I140" s="290" t="e">
        <f t="shared" si="37"/>
        <v>#DIV/0!</v>
      </c>
      <c r="J140" s="290" t="e">
        <f t="shared" si="37"/>
        <v>#DIV/0!</v>
      </c>
      <c r="K140" s="290" t="e">
        <f t="shared" si="37"/>
        <v>#DIV/0!</v>
      </c>
      <c r="L140" s="290" t="e">
        <f t="shared" si="37"/>
        <v>#DIV/0!</v>
      </c>
      <c r="M140" s="290" t="e">
        <f t="shared" si="37"/>
        <v>#DIV/0!</v>
      </c>
    </row>
    <row r="141" spans="2:13" x14ac:dyDescent="0.25">
      <c r="B141" s="161" t="s">
        <v>113</v>
      </c>
    </row>
    <row r="142" spans="2:13" x14ac:dyDescent="0.25">
      <c r="B142" s="161" t="s">
        <v>18</v>
      </c>
    </row>
    <row r="143" spans="2:13" x14ac:dyDescent="0.25">
      <c r="B143" s="159" t="s">
        <v>19</v>
      </c>
    </row>
    <row r="144" spans="2:13" x14ac:dyDescent="0.25">
      <c r="B144" s="160" t="s">
        <v>94</v>
      </c>
    </row>
    <row r="145" spans="2:13" x14ac:dyDescent="0.25">
      <c r="B145" s="157" t="s">
        <v>95</v>
      </c>
      <c r="C145" s="290">
        <f>((-1*C22)*4/Data!B4)/(YTD!C49)</f>
        <v>0</v>
      </c>
      <c r="D145" s="290" t="e">
        <f t="shared" ref="D145:M145" si="38">-D22/D51</f>
        <v>#DIV/0!</v>
      </c>
      <c r="E145" s="290" t="e">
        <f t="shared" si="38"/>
        <v>#DIV/0!</v>
      </c>
      <c r="F145" s="290" t="e">
        <f t="shared" si="38"/>
        <v>#DIV/0!</v>
      </c>
      <c r="G145" s="290" t="e">
        <f t="shared" si="38"/>
        <v>#DIV/0!</v>
      </c>
      <c r="H145" s="290" t="e">
        <f t="shared" si="38"/>
        <v>#DIV/0!</v>
      </c>
      <c r="I145" s="290" t="e">
        <f t="shared" si="38"/>
        <v>#DIV/0!</v>
      </c>
      <c r="J145" s="290" t="e">
        <f t="shared" si="38"/>
        <v>#DIV/0!</v>
      </c>
      <c r="K145" s="290" t="e">
        <f t="shared" si="38"/>
        <v>#DIV/0!</v>
      </c>
      <c r="L145" s="290" t="e">
        <f t="shared" si="38"/>
        <v>#DIV/0!</v>
      </c>
      <c r="M145" s="290" t="e">
        <f t="shared" si="38"/>
        <v>#DIV/0!</v>
      </c>
    </row>
    <row r="146" spans="2:13" x14ac:dyDescent="0.25">
      <c r="B146" s="159" t="s">
        <v>96</v>
      </c>
    </row>
    <row r="147" spans="2:13" x14ac:dyDescent="0.25">
      <c r="B147" s="162" t="s">
        <v>97</v>
      </c>
    </row>
    <row r="148" spans="2:13" x14ac:dyDescent="0.25">
      <c r="B148" s="157" t="s">
        <v>98</v>
      </c>
    </row>
    <row r="149" spans="2:13" x14ac:dyDescent="0.25">
      <c r="B149" s="158" t="s">
        <v>114</v>
      </c>
    </row>
    <row r="150" spans="2:13" x14ac:dyDescent="0.25">
      <c r="B150" s="158" t="s">
        <v>99</v>
      </c>
    </row>
    <row r="151" spans="2:13" x14ac:dyDescent="0.25">
      <c r="B151" s="158" t="s">
        <v>100</v>
      </c>
    </row>
    <row r="152" spans="2:13" x14ac:dyDescent="0.25">
      <c r="B152" s="158" t="s">
        <v>101</v>
      </c>
    </row>
    <row r="153" spans="2:13" x14ac:dyDescent="0.25">
      <c r="B153" s="158" t="s">
        <v>102</v>
      </c>
    </row>
    <row r="154" spans="2:13" x14ac:dyDescent="0.25">
      <c r="B154" s="158" t="s">
        <v>103</v>
      </c>
    </row>
    <row r="155" spans="2:13" x14ac:dyDescent="0.25">
      <c r="B155" s="158" t="s">
        <v>104</v>
      </c>
    </row>
    <row r="156" spans="2:13" x14ac:dyDescent="0.25">
      <c r="B156" s="158" t="s">
        <v>105</v>
      </c>
    </row>
    <row r="157" spans="2:13" x14ac:dyDescent="0.25">
      <c r="B157" s="159" t="s">
        <v>106</v>
      </c>
    </row>
    <row r="158" spans="2:13" x14ac:dyDescent="0.25">
      <c r="B158" s="160" t="s">
        <v>107</v>
      </c>
    </row>
    <row r="159" spans="2:13" x14ac:dyDescent="0.25">
      <c r="B159" s="157" t="s">
        <v>108</v>
      </c>
    </row>
    <row r="160" spans="2:13" x14ac:dyDescent="0.25">
      <c r="B160" s="163" t="s">
        <v>109</v>
      </c>
    </row>
    <row r="161" spans="2:2" x14ac:dyDescent="0.25">
      <c r="B161" s="164" t="s">
        <v>115</v>
      </c>
    </row>
  </sheetData>
  <conditionalFormatting sqref="C120:M120">
    <cfRule type="cellIs" dxfId="20" priority="3" stopIfTrue="1" operator="lessThan">
      <formula>#REF!</formula>
    </cfRule>
    <cfRule type="cellIs" dxfId="19" priority="4" operator="lessThan">
      <formula>#REF!</formula>
    </cfRule>
  </conditionalFormatting>
  <conditionalFormatting sqref="C124:M129">
    <cfRule type="cellIs" dxfId="18" priority="1" stopIfTrue="1" operator="lessThan">
      <formula>#REF!</formula>
    </cfRule>
    <cfRule type="cellIs" dxfId="17" priority="2" operator="lessThan">
      <formula>#REF!</formula>
    </cfRule>
  </conditionalFormatting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Drop Down 1">
              <controlPr defaultSize="0" autoLine="0" autoPict="0">
                <anchor moveWithCells="1">
                  <from>
                    <xdr:col>12</xdr:col>
                    <xdr:colOff>0</xdr:colOff>
                    <xdr:row>7</xdr:row>
                    <xdr:rowOff>9525</xdr:rowOff>
                  </from>
                  <to>
                    <xdr:col>13</xdr:col>
                    <xdr:colOff>38100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5" name="Drop Down 2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61"/>
  <sheetViews>
    <sheetView zoomScaleNormal="100" workbookViewId="0">
      <selection activeCell="C98" sqref="C98:L99"/>
    </sheetView>
  </sheetViews>
  <sheetFormatPr defaultColWidth="9.140625" defaultRowHeight="12.75" outlineLevelRow="1" outlineLevelCol="1" x14ac:dyDescent="0.25"/>
  <cols>
    <col min="1" max="1" width="2.42578125" style="1" customWidth="1"/>
    <col min="2" max="2" width="39.140625" style="3" bestFit="1" customWidth="1"/>
    <col min="3" max="3" width="12.140625" style="3" bestFit="1" customWidth="1" outlineLevel="1"/>
    <col min="4" max="4" width="11.7109375" style="3" customWidth="1" outlineLevel="1"/>
    <col min="5" max="6" width="10.7109375" style="3" customWidth="1" outlineLevel="1"/>
    <col min="7" max="7" width="13.7109375" style="3" customWidth="1" outlineLevel="1"/>
    <col min="8" max="8" width="15.42578125" style="3" customWidth="1" outlineLevel="1"/>
    <col min="9" max="10" width="11.28515625" style="3" customWidth="1" outlineLevel="1"/>
    <col min="11" max="11" width="14" style="3" customWidth="1" outlineLevel="1"/>
    <col min="12" max="12" width="11.5703125" style="3" customWidth="1" outlineLevel="1"/>
    <col min="13" max="13" width="14" style="115" bestFit="1" customWidth="1"/>
    <col min="14" max="16384" width="9.140625" style="3"/>
  </cols>
  <sheetData>
    <row r="1" spans="1:13" ht="7.5" customHeight="1" x14ac:dyDescent="0.25">
      <c r="A1" s="1" t="s">
        <v>191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2"/>
    </row>
    <row r="3" spans="1:13" ht="13.9" hidden="1" customHeight="1" outlineLevel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6">
        <v>1</v>
      </c>
    </row>
    <row r="4" spans="1:13" ht="13.9" hidden="1" customHeight="1" outlineLevel="1" x14ac:dyDescent="0.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6">
        <v>2</v>
      </c>
    </row>
    <row r="5" spans="1:13" ht="13.9" hidden="1" customHeight="1" outlineLevel="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6">
        <v>3</v>
      </c>
    </row>
    <row r="6" spans="1:13" ht="13.9" hidden="1" customHeight="1" outlineLevel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collapsed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s="11" customFormat="1" ht="12.75" customHeight="1" x14ac:dyDescent="0.25">
      <c r="A8" s="1"/>
      <c r="B8" s="7" t="s">
        <v>3</v>
      </c>
      <c r="C8" s="8"/>
      <c r="D8" s="8"/>
      <c r="E8" s="8"/>
      <c r="F8" s="8"/>
      <c r="G8" s="9"/>
      <c r="H8" s="9"/>
      <c r="I8" s="9"/>
      <c r="J8" s="9"/>
      <c r="K8" s="9"/>
      <c r="L8" s="8"/>
      <c r="M8" s="116"/>
    </row>
    <row r="9" spans="1:13" s="11" customFormat="1" ht="13.5" thickBot="1" x14ac:dyDescent="0.3">
      <c r="A9" s="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17"/>
    </row>
    <row r="10" spans="1:13" s="11" customFormat="1" ht="14.45" customHeight="1" thickTop="1" x14ac:dyDescent="0.25">
      <c r="A10" s="1"/>
      <c r="B10" s="14"/>
      <c r="C10" s="15" t="s">
        <v>65</v>
      </c>
      <c r="D10" s="15" t="s">
        <v>66</v>
      </c>
      <c r="E10" s="15" t="s">
        <v>67</v>
      </c>
      <c r="F10" s="15" t="s">
        <v>83</v>
      </c>
      <c r="G10" s="15" t="s">
        <v>82</v>
      </c>
      <c r="H10" s="15" t="s">
        <v>68</v>
      </c>
      <c r="I10" s="15" t="s">
        <v>69</v>
      </c>
      <c r="J10" s="15" t="s">
        <v>161</v>
      </c>
      <c r="K10" s="15" t="s">
        <v>70</v>
      </c>
      <c r="L10" s="15" t="s">
        <v>71</v>
      </c>
      <c r="M10" s="118" t="s">
        <v>4</v>
      </c>
    </row>
    <row r="11" spans="1:13" s="11" customFormat="1" x14ac:dyDescent="0.25">
      <c r="A11" s="1"/>
      <c r="B11" s="14"/>
      <c r="C11" s="16">
        <v>46387</v>
      </c>
      <c r="D11" s="16">
        <f>C11</f>
        <v>46387</v>
      </c>
      <c r="E11" s="16">
        <f t="shared" ref="E11:L11" si="0">D11</f>
        <v>46387</v>
      </c>
      <c r="F11" s="16">
        <f t="shared" si="0"/>
        <v>46387</v>
      </c>
      <c r="G11" s="16">
        <f t="shared" si="0"/>
        <v>46387</v>
      </c>
      <c r="H11" s="16">
        <f t="shared" si="0"/>
        <v>46387</v>
      </c>
      <c r="I11" s="16">
        <f t="shared" si="0"/>
        <v>46387</v>
      </c>
      <c r="J11" s="16">
        <f t="shared" si="0"/>
        <v>46387</v>
      </c>
      <c r="K11" s="16">
        <f t="shared" si="0"/>
        <v>46387</v>
      </c>
      <c r="L11" s="16">
        <f t="shared" si="0"/>
        <v>46387</v>
      </c>
      <c r="M11" s="119">
        <v>45657</v>
      </c>
    </row>
    <row r="12" spans="1:13" ht="16.5" customHeight="1" x14ac:dyDescent="0.25">
      <c r="B12" s="17"/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5</v>
      </c>
      <c r="K12" s="18" t="s">
        <v>5</v>
      </c>
      <c r="L12" s="18" t="s">
        <v>5</v>
      </c>
      <c r="M12" s="120" t="s">
        <v>5</v>
      </c>
    </row>
    <row r="13" spans="1:13" x14ac:dyDescent="0.25">
      <c r="B13" s="17" t="s">
        <v>6</v>
      </c>
      <c r="C13" s="19">
        <f t="shared" ref="C13:M13" si="1">SUM(C14:C15)</f>
        <v>0</v>
      </c>
      <c r="D13" s="19">
        <f t="shared" si="1"/>
        <v>0</v>
      </c>
      <c r="E13" s="19">
        <f t="shared" si="1"/>
        <v>0</v>
      </c>
      <c r="F13" s="19">
        <f t="shared" si="1"/>
        <v>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19">
        <f t="shared" si="1"/>
        <v>0</v>
      </c>
      <c r="K13" s="19">
        <f t="shared" si="1"/>
        <v>0</v>
      </c>
      <c r="L13" s="19">
        <f t="shared" si="1"/>
        <v>0</v>
      </c>
      <c r="M13" s="121">
        <f t="shared" si="1"/>
        <v>0</v>
      </c>
    </row>
    <row r="14" spans="1:13" outlineLevel="1" x14ac:dyDescent="0.25">
      <c r="B14" s="23" t="s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122">
        <f>SUM(C14:L14)</f>
        <v>0</v>
      </c>
    </row>
    <row r="15" spans="1:13" outlineLevel="1" x14ac:dyDescent="0.25">
      <c r="B15" s="23" t="s">
        <v>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122">
        <f>SUM(C15:L15)</f>
        <v>0</v>
      </c>
    </row>
    <row r="16" spans="1:13" outlineLevel="1" x14ac:dyDescent="0.25">
      <c r="B16" s="17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21"/>
    </row>
    <row r="17" spans="1:13" x14ac:dyDescent="0.25">
      <c r="B17" s="17" t="s">
        <v>9</v>
      </c>
      <c r="C17" s="27">
        <f t="shared" ref="C17:M17" si="2">SUM(C18:C20)</f>
        <v>0</v>
      </c>
      <c r="D17" s="27">
        <f t="shared" si="2"/>
        <v>0</v>
      </c>
      <c r="E17" s="27">
        <f t="shared" si="2"/>
        <v>0</v>
      </c>
      <c r="F17" s="27">
        <f t="shared" si="2"/>
        <v>0</v>
      </c>
      <c r="G17" s="27">
        <f t="shared" si="2"/>
        <v>0</v>
      </c>
      <c r="H17" s="27">
        <f t="shared" si="2"/>
        <v>0</v>
      </c>
      <c r="I17" s="27">
        <f t="shared" si="2"/>
        <v>0</v>
      </c>
      <c r="J17" s="27">
        <f t="shared" si="2"/>
        <v>0</v>
      </c>
      <c r="K17" s="27">
        <f t="shared" si="2"/>
        <v>0</v>
      </c>
      <c r="L17" s="27">
        <f t="shared" si="2"/>
        <v>0</v>
      </c>
      <c r="M17" s="124">
        <f t="shared" si="2"/>
        <v>0</v>
      </c>
    </row>
    <row r="18" spans="1:13" ht="15" outlineLevel="1" x14ac:dyDescent="0.25">
      <c r="A18" s="28"/>
      <c r="B18" s="23" t="s">
        <v>10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22">
        <f t="shared" ref="M18:M23" si="3">SUM(C18:L18)</f>
        <v>0</v>
      </c>
    </row>
    <row r="19" spans="1:13" ht="15" outlineLevel="1" x14ac:dyDescent="0.25">
      <c r="A19" s="28"/>
      <c r="B19" s="23" t="s">
        <v>11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122">
        <f t="shared" si="3"/>
        <v>0</v>
      </c>
    </row>
    <row r="20" spans="1:13" ht="15" outlineLevel="1" x14ac:dyDescent="0.25">
      <c r="A20" s="28"/>
      <c r="B20" s="23" t="s">
        <v>8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122">
        <f t="shared" si="3"/>
        <v>0</v>
      </c>
    </row>
    <row r="21" spans="1:13" s="11" customFormat="1" ht="15" x14ac:dyDescent="0.25">
      <c r="A21" s="28"/>
      <c r="B21" s="30" t="s">
        <v>12</v>
      </c>
      <c r="C21" s="31">
        <f t="shared" ref="C21:L21" si="4">C13+C17</f>
        <v>0</v>
      </c>
      <c r="D21" s="31">
        <f t="shared" si="4"/>
        <v>0</v>
      </c>
      <c r="E21" s="31">
        <f t="shared" si="4"/>
        <v>0</v>
      </c>
      <c r="F21" s="31">
        <f t="shared" si="4"/>
        <v>0</v>
      </c>
      <c r="G21" s="31">
        <f t="shared" si="4"/>
        <v>0</v>
      </c>
      <c r="H21" s="31">
        <f t="shared" si="4"/>
        <v>0</v>
      </c>
      <c r="I21" s="31">
        <f t="shared" si="4"/>
        <v>0</v>
      </c>
      <c r="J21" s="31">
        <f t="shared" si="4"/>
        <v>0</v>
      </c>
      <c r="K21" s="31">
        <f t="shared" si="4"/>
        <v>0</v>
      </c>
      <c r="L21" s="31">
        <f t="shared" si="4"/>
        <v>0</v>
      </c>
      <c r="M21" s="122">
        <f t="shared" si="3"/>
        <v>0</v>
      </c>
    </row>
    <row r="22" spans="1:13" ht="15" x14ac:dyDescent="0.25">
      <c r="A22" s="28"/>
      <c r="B22" s="17" t="s">
        <v>13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122">
        <f t="shared" si="3"/>
        <v>0</v>
      </c>
    </row>
    <row r="23" spans="1:13" ht="15" x14ac:dyDescent="0.25">
      <c r="A23" s="28"/>
      <c r="B23" s="32" t="s">
        <v>14</v>
      </c>
      <c r="C23" s="21">
        <f t="shared" ref="C23:K23" si="5">C21+C22</f>
        <v>0</v>
      </c>
      <c r="D23" s="21">
        <f t="shared" si="5"/>
        <v>0</v>
      </c>
      <c r="E23" s="21">
        <f t="shared" si="5"/>
        <v>0</v>
      </c>
      <c r="F23" s="21">
        <f t="shared" si="5"/>
        <v>0</v>
      </c>
      <c r="G23" s="21">
        <f t="shared" si="5"/>
        <v>0</v>
      </c>
      <c r="H23" s="21">
        <f t="shared" si="5"/>
        <v>0</v>
      </c>
      <c r="I23" s="21">
        <f t="shared" si="5"/>
        <v>0</v>
      </c>
      <c r="J23" s="21">
        <f t="shared" si="5"/>
        <v>0</v>
      </c>
      <c r="K23" s="21">
        <f t="shared" si="5"/>
        <v>0</v>
      </c>
      <c r="L23" s="21">
        <f>L21+L22</f>
        <v>0</v>
      </c>
      <c r="M23" s="122">
        <f t="shared" si="3"/>
        <v>0</v>
      </c>
    </row>
    <row r="24" spans="1:13" ht="9.6" customHeight="1" x14ac:dyDescent="0.25">
      <c r="A24" s="28"/>
      <c r="B24" s="33"/>
      <c r="C24" s="19"/>
      <c r="D24" s="21"/>
      <c r="E24" s="19"/>
      <c r="F24" s="19"/>
      <c r="G24" s="19"/>
      <c r="H24" s="19"/>
      <c r="I24" s="21"/>
      <c r="J24" s="21"/>
      <c r="K24" s="21"/>
      <c r="L24" s="21"/>
      <c r="M24" s="125"/>
    </row>
    <row r="25" spans="1:13" s="11" customFormat="1" ht="15" x14ac:dyDescent="0.25">
      <c r="A25" s="28"/>
      <c r="B25" s="32" t="s">
        <v>15</v>
      </c>
      <c r="C25" s="27">
        <f t="shared" ref="C25:M25" si="6">SUM(C26:C28)</f>
        <v>0</v>
      </c>
      <c r="D25" s="27">
        <f t="shared" si="6"/>
        <v>0</v>
      </c>
      <c r="E25" s="27">
        <f t="shared" si="6"/>
        <v>0</v>
      </c>
      <c r="F25" s="27">
        <f t="shared" si="6"/>
        <v>0</v>
      </c>
      <c r="G25" s="27">
        <f t="shared" si="6"/>
        <v>0</v>
      </c>
      <c r="H25" s="27">
        <f t="shared" si="6"/>
        <v>0</v>
      </c>
      <c r="I25" s="27">
        <f t="shared" si="6"/>
        <v>0</v>
      </c>
      <c r="J25" s="27">
        <f t="shared" si="6"/>
        <v>0</v>
      </c>
      <c r="K25" s="27">
        <f t="shared" si="6"/>
        <v>0</v>
      </c>
      <c r="L25" s="27">
        <f>SUM(L26:L28)</f>
        <v>0</v>
      </c>
      <c r="M25" s="124">
        <f t="shared" si="6"/>
        <v>0</v>
      </c>
    </row>
    <row r="26" spans="1:13" s="11" customFormat="1" ht="15" x14ac:dyDescent="0.25">
      <c r="A26" s="28"/>
      <c r="B26" s="34" t="s">
        <v>16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122">
        <f t="shared" ref="M26:M28" si="7">SUM(C26:L26)</f>
        <v>0</v>
      </c>
    </row>
    <row r="27" spans="1:13" s="11" customFormat="1" ht="15" x14ac:dyDescent="0.25">
      <c r="A27" s="28"/>
      <c r="B27" s="34" t="s">
        <v>172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22">
        <f t="shared" si="7"/>
        <v>0</v>
      </c>
    </row>
    <row r="28" spans="1:13" s="11" customFormat="1" ht="15" x14ac:dyDescent="0.25">
      <c r="A28" s="28"/>
      <c r="B28" s="34" t="s">
        <v>17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122">
        <f t="shared" si="7"/>
        <v>0</v>
      </c>
    </row>
    <row r="29" spans="1:13" s="11" customFormat="1" ht="15" x14ac:dyDescent="0.25">
      <c r="A29" s="28"/>
      <c r="B29" s="32" t="s">
        <v>18</v>
      </c>
      <c r="C29" s="36">
        <f t="shared" ref="C29:M29" si="8">C23+C25</f>
        <v>0</v>
      </c>
      <c r="D29" s="36">
        <f t="shared" si="8"/>
        <v>0</v>
      </c>
      <c r="E29" s="36">
        <f t="shared" si="8"/>
        <v>0</v>
      </c>
      <c r="F29" s="36">
        <f t="shared" si="8"/>
        <v>0</v>
      </c>
      <c r="G29" s="36">
        <f t="shared" si="8"/>
        <v>0</v>
      </c>
      <c r="H29" s="36">
        <f t="shared" si="8"/>
        <v>0</v>
      </c>
      <c r="I29" s="36">
        <f t="shared" si="8"/>
        <v>0</v>
      </c>
      <c r="J29" s="36">
        <f t="shared" si="8"/>
        <v>0</v>
      </c>
      <c r="K29" s="36">
        <f t="shared" si="8"/>
        <v>0</v>
      </c>
      <c r="L29" s="36">
        <f>L23+L25</f>
        <v>0</v>
      </c>
      <c r="M29" s="126">
        <f t="shared" si="8"/>
        <v>0</v>
      </c>
    </row>
    <row r="30" spans="1:13" s="11" customFormat="1" ht="12" customHeight="1" x14ac:dyDescent="0.25">
      <c r="A30" s="28"/>
      <c r="B30" s="34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21"/>
    </row>
    <row r="31" spans="1:13" s="11" customFormat="1" ht="15" x14ac:dyDescent="0.25">
      <c r="A31" s="28"/>
      <c r="B31" s="32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1"/>
    </row>
    <row r="32" spans="1:13" s="11" customFormat="1" ht="15" customHeight="1" x14ac:dyDescent="0.25">
      <c r="A32" s="28"/>
      <c r="B32" s="37" t="s">
        <v>20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122">
        <f>SUM(C32:L32)</f>
        <v>0</v>
      </c>
    </row>
    <row r="33" spans="1:13" s="11" customFormat="1" ht="11.45" customHeight="1" x14ac:dyDescent="0.25">
      <c r="A33" s="28"/>
      <c r="B33" s="17" t="s">
        <v>21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122">
        <f>SUM(C33:L33)</f>
        <v>0</v>
      </c>
    </row>
    <row r="34" spans="1:13" s="11" customFormat="1" ht="10.5" customHeight="1" x14ac:dyDescent="0.25">
      <c r="A34" s="28"/>
      <c r="B34" s="40" t="s">
        <v>22</v>
      </c>
      <c r="C34" s="41">
        <f>SUM(C32:C33)</f>
        <v>0</v>
      </c>
      <c r="D34" s="41">
        <f t="shared" ref="D34:M34" si="9">SUM(D32:D33)</f>
        <v>0</v>
      </c>
      <c r="E34" s="41">
        <f t="shared" si="9"/>
        <v>0</v>
      </c>
      <c r="F34" s="41">
        <f t="shared" si="9"/>
        <v>0</v>
      </c>
      <c r="G34" s="41">
        <f t="shared" si="9"/>
        <v>0</v>
      </c>
      <c r="H34" s="41">
        <f t="shared" si="9"/>
        <v>0</v>
      </c>
      <c r="I34" s="41">
        <f t="shared" si="9"/>
        <v>0</v>
      </c>
      <c r="J34" s="41">
        <f t="shared" si="9"/>
        <v>0</v>
      </c>
      <c r="K34" s="41">
        <f t="shared" si="9"/>
        <v>0</v>
      </c>
      <c r="L34" s="41">
        <f t="shared" si="9"/>
        <v>0</v>
      </c>
      <c r="M34" s="128">
        <f t="shared" si="9"/>
        <v>0</v>
      </c>
    </row>
    <row r="35" spans="1:13" s="11" customFormat="1" ht="12.75" customHeight="1" x14ac:dyDescent="0.25">
      <c r="A35" s="28"/>
      <c r="B35" s="1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127"/>
    </row>
    <row r="36" spans="1:13" s="11" customFormat="1" ht="15" x14ac:dyDescent="0.25">
      <c r="A36" s="28"/>
      <c r="B36" s="40" t="s">
        <v>23</v>
      </c>
      <c r="C36" s="35">
        <f t="shared" ref="C36:M36" si="10">C29+C34</f>
        <v>0</v>
      </c>
      <c r="D36" s="35">
        <f t="shared" si="10"/>
        <v>0</v>
      </c>
      <c r="E36" s="35">
        <f t="shared" si="10"/>
        <v>0</v>
      </c>
      <c r="F36" s="35">
        <f t="shared" si="10"/>
        <v>0</v>
      </c>
      <c r="G36" s="35">
        <f t="shared" si="10"/>
        <v>0</v>
      </c>
      <c r="H36" s="35">
        <f t="shared" si="10"/>
        <v>0</v>
      </c>
      <c r="I36" s="35">
        <f t="shared" si="10"/>
        <v>0</v>
      </c>
      <c r="J36" s="35">
        <f t="shared" si="10"/>
        <v>0</v>
      </c>
      <c r="K36" s="35">
        <f>K29+K34</f>
        <v>0</v>
      </c>
      <c r="L36" s="35">
        <f t="shared" si="10"/>
        <v>0</v>
      </c>
      <c r="M36" s="129">
        <f t="shared" si="10"/>
        <v>0</v>
      </c>
    </row>
    <row r="37" spans="1:13" s="11" customFormat="1" ht="15" x14ac:dyDescent="0.25">
      <c r="A37" s="28"/>
      <c r="B37" s="40" t="s">
        <v>24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f>'[2]IS, BS &amp; Ratios Dec 20.'!K44+'[2]IS, Q March 21'!K44</f>
        <v>0</v>
      </c>
      <c r="M37" s="122">
        <f>SUM(C37:L37)</f>
        <v>0</v>
      </c>
    </row>
    <row r="38" spans="1:13" s="11" customFormat="1" ht="15" x14ac:dyDescent="0.25">
      <c r="A38" s="28"/>
      <c r="B38" s="40" t="s">
        <v>25</v>
      </c>
      <c r="C38" s="21">
        <f>SUM(C36:C37)</f>
        <v>0</v>
      </c>
      <c r="D38" s="21">
        <f t="shared" ref="D38:L38" si="11">SUM(D36:D37)</f>
        <v>0</v>
      </c>
      <c r="E38" s="21">
        <f t="shared" si="11"/>
        <v>0</v>
      </c>
      <c r="F38" s="21">
        <f t="shared" si="11"/>
        <v>0</v>
      </c>
      <c r="G38" s="21">
        <f t="shared" si="11"/>
        <v>0</v>
      </c>
      <c r="H38" s="21">
        <f t="shared" si="11"/>
        <v>0</v>
      </c>
      <c r="I38" s="21">
        <f t="shared" si="11"/>
        <v>0</v>
      </c>
      <c r="J38" s="21">
        <f t="shared" si="11"/>
        <v>0</v>
      </c>
      <c r="K38" s="21">
        <f t="shared" si="11"/>
        <v>0</v>
      </c>
      <c r="L38" s="21">
        <f t="shared" si="11"/>
        <v>0</v>
      </c>
      <c r="M38" s="122">
        <f>SUM(C38:L38)</f>
        <v>0</v>
      </c>
    </row>
    <row r="39" spans="1:13" ht="15" x14ac:dyDescent="0.25">
      <c r="A39" s="28"/>
      <c r="B39" s="17" t="s">
        <v>26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122">
        <f>SUM(C39:L39)</f>
        <v>0</v>
      </c>
    </row>
    <row r="40" spans="1:13" s="11" customFormat="1" ht="15" x14ac:dyDescent="0.25">
      <c r="A40" s="28"/>
      <c r="B40" s="40" t="s">
        <v>27</v>
      </c>
      <c r="C40" s="43">
        <f>SUM(C38:C39)</f>
        <v>0</v>
      </c>
      <c r="D40" s="43">
        <f t="shared" ref="D40:M40" si="12">SUM(D38:D39)</f>
        <v>0</v>
      </c>
      <c r="E40" s="43">
        <f t="shared" si="12"/>
        <v>0</v>
      </c>
      <c r="F40" s="43">
        <f t="shared" si="12"/>
        <v>0</v>
      </c>
      <c r="G40" s="43">
        <f t="shared" si="12"/>
        <v>0</v>
      </c>
      <c r="H40" s="43">
        <f t="shared" si="12"/>
        <v>0</v>
      </c>
      <c r="I40" s="43">
        <f t="shared" si="12"/>
        <v>0</v>
      </c>
      <c r="J40" s="43">
        <f t="shared" si="12"/>
        <v>0</v>
      </c>
      <c r="K40" s="43">
        <f>SUM(K38:K39)</f>
        <v>0</v>
      </c>
      <c r="L40" s="43">
        <f t="shared" si="12"/>
        <v>0</v>
      </c>
      <c r="M40" s="130">
        <f t="shared" si="12"/>
        <v>0</v>
      </c>
    </row>
    <row r="41" spans="1:13" s="11" customFormat="1" ht="15" x14ac:dyDescent="0.25">
      <c r="A41" s="28"/>
      <c r="B41" s="40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129"/>
    </row>
    <row r="42" spans="1:13" s="11" customFormat="1" ht="15" x14ac:dyDescent="0.25">
      <c r="A42" s="28"/>
      <c r="B42" s="32"/>
      <c r="D42" s="47"/>
      <c r="I42" s="47"/>
      <c r="J42" s="47"/>
      <c r="K42" s="47"/>
      <c r="L42" s="47"/>
      <c r="M42" s="131"/>
    </row>
    <row r="43" spans="1:13" s="11" customFormat="1" ht="15.75" thickBot="1" x14ac:dyDescent="0.3">
      <c r="A43" s="28"/>
      <c r="B43" s="49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17"/>
    </row>
    <row r="44" spans="1:13" s="11" customFormat="1" ht="15.75" thickTop="1" x14ac:dyDescent="0.25">
      <c r="A44" s="28"/>
      <c r="B44" s="50"/>
      <c r="C44" s="16">
        <f>C11</f>
        <v>46387</v>
      </c>
      <c r="D44" s="16">
        <f>C44</f>
        <v>46387</v>
      </c>
      <c r="E44" s="16">
        <f t="shared" ref="E44:L44" si="13">D44</f>
        <v>46387</v>
      </c>
      <c r="F44" s="16">
        <f t="shared" si="13"/>
        <v>46387</v>
      </c>
      <c r="G44" s="16">
        <f t="shared" si="13"/>
        <v>46387</v>
      </c>
      <c r="H44" s="16">
        <f t="shared" si="13"/>
        <v>46387</v>
      </c>
      <c r="I44" s="16">
        <f t="shared" si="13"/>
        <v>46387</v>
      </c>
      <c r="J44" s="16">
        <f t="shared" si="13"/>
        <v>46387</v>
      </c>
      <c r="K44" s="16">
        <f t="shared" si="13"/>
        <v>46387</v>
      </c>
      <c r="L44" s="16">
        <f t="shared" si="13"/>
        <v>46387</v>
      </c>
      <c r="M44" s="119">
        <v>45657</v>
      </c>
    </row>
    <row r="45" spans="1:13" s="11" customFormat="1" ht="15" x14ac:dyDescent="0.25">
      <c r="A45" s="28"/>
      <c r="B45" s="50"/>
      <c r="C45" s="18" t="s">
        <v>5</v>
      </c>
      <c r="D45" s="18" t="s">
        <v>5</v>
      </c>
      <c r="E45" s="18" t="s">
        <v>5</v>
      </c>
      <c r="F45" s="18" t="s">
        <v>5</v>
      </c>
      <c r="G45" s="18" t="s">
        <v>5</v>
      </c>
      <c r="H45" s="18" t="s">
        <v>5</v>
      </c>
      <c r="I45" s="18" t="s">
        <v>5</v>
      </c>
      <c r="J45" s="18"/>
      <c r="K45" s="18" t="s">
        <v>5</v>
      </c>
      <c r="L45" s="18" t="s">
        <v>5</v>
      </c>
      <c r="M45" s="120" t="s">
        <v>5</v>
      </c>
    </row>
    <row r="46" spans="1:13" s="11" customFormat="1" ht="18.75" customHeight="1" x14ac:dyDescent="0.25">
      <c r="A46" s="28"/>
      <c r="B46" s="32" t="s">
        <v>29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32"/>
    </row>
    <row r="47" spans="1:13" s="11" customFormat="1" ht="13.5" customHeight="1" x14ac:dyDescent="0.25">
      <c r="A47" s="28"/>
      <c r="B47" s="34" t="s">
        <v>72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122">
        <f t="shared" ref="M47:M53" si="14">SUM(C47:L47)</f>
        <v>0</v>
      </c>
    </row>
    <row r="48" spans="1:13" s="11" customFormat="1" ht="13.5" customHeight="1" x14ac:dyDescent="0.25">
      <c r="A48" s="28"/>
      <c r="B48" s="34" t="s">
        <v>183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122">
        <f t="shared" si="14"/>
        <v>0</v>
      </c>
    </row>
    <row r="49" spans="1:13" s="11" customFormat="1" ht="13.5" customHeight="1" x14ac:dyDescent="0.25">
      <c r="A49" s="28"/>
      <c r="B49" s="34" t="s">
        <v>74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122">
        <f t="shared" si="14"/>
        <v>0</v>
      </c>
    </row>
    <row r="50" spans="1:13" ht="15" x14ac:dyDescent="0.25">
      <c r="A50" s="28"/>
      <c r="B50" s="34" t="s">
        <v>75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122">
        <f t="shared" si="14"/>
        <v>0</v>
      </c>
    </row>
    <row r="51" spans="1:13" ht="15" x14ac:dyDescent="0.25">
      <c r="A51" s="28"/>
      <c r="B51" s="34" t="s">
        <v>81</v>
      </c>
      <c r="C51" s="246">
        <f t="shared" ref="C51:M51" si="15">SUM(C49:C50)</f>
        <v>0</v>
      </c>
      <c r="D51" s="246">
        <f t="shared" si="15"/>
        <v>0</v>
      </c>
      <c r="E51" s="246">
        <f t="shared" si="15"/>
        <v>0</v>
      </c>
      <c r="F51" s="246">
        <f t="shared" si="15"/>
        <v>0</v>
      </c>
      <c r="G51" s="246">
        <f t="shared" si="15"/>
        <v>0</v>
      </c>
      <c r="H51" s="246">
        <f t="shared" si="15"/>
        <v>0</v>
      </c>
      <c r="I51" s="246">
        <f t="shared" si="15"/>
        <v>0</v>
      </c>
      <c r="J51" s="246">
        <f t="shared" si="15"/>
        <v>0</v>
      </c>
      <c r="K51" s="246">
        <f t="shared" si="15"/>
        <v>0</v>
      </c>
      <c r="L51" s="246">
        <f t="shared" si="15"/>
        <v>0</v>
      </c>
      <c r="M51" s="246">
        <f t="shared" si="15"/>
        <v>0</v>
      </c>
    </row>
    <row r="52" spans="1:13" ht="15" x14ac:dyDescent="0.25">
      <c r="A52" s="28"/>
      <c r="B52" s="17" t="s">
        <v>77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122">
        <f t="shared" si="14"/>
        <v>0</v>
      </c>
    </row>
    <row r="53" spans="1:13" ht="15" outlineLevel="1" x14ac:dyDescent="0.25">
      <c r="A53" s="28"/>
      <c r="B53" s="17" t="s">
        <v>78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122">
        <f t="shared" si="14"/>
        <v>0</v>
      </c>
    </row>
    <row r="54" spans="1:13" ht="13.5" thickBot="1" x14ac:dyDescent="0.3">
      <c r="B54" s="32" t="s">
        <v>30</v>
      </c>
      <c r="C54" s="51">
        <f t="shared" ref="C54:M54" si="16">SUM(C47:C48)+C51+C52+C53</f>
        <v>0</v>
      </c>
      <c r="D54" s="51">
        <f t="shared" si="16"/>
        <v>0</v>
      </c>
      <c r="E54" s="51">
        <f t="shared" si="16"/>
        <v>0</v>
      </c>
      <c r="F54" s="51">
        <f t="shared" si="16"/>
        <v>0</v>
      </c>
      <c r="G54" s="51">
        <f t="shared" si="16"/>
        <v>0</v>
      </c>
      <c r="H54" s="51">
        <f t="shared" si="16"/>
        <v>0</v>
      </c>
      <c r="I54" s="51">
        <f t="shared" si="16"/>
        <v>0</v>
      </c>
      <c r="J54" s="51">
        <f t="shared" si="16"/>
        <v>0</v>
      </c>
      <c r="K54" s="51">
        <f t="shared" si="16"/>
        <v>0</v>
      </c>
      <c r="L54" s="51">
        <f t="shared" si="16"/>
        <v>0</v>
      </c>
      <c r="M54" s="51">
        <f t="shared" si="16"/>
        <v>0</v>
      </c>
    </row>
    <row r="55" spans="1:13" ht="13.5" thickTop="1" x14ac:dyDescent="0.25">
      <c r="B55" s="17"/>
      <c r="C55" s="52"/>
      <c r="D55" s="52"/>
      <c r="E55" s="52"/>
      <c r="F55" s="52"/>
      <c r="G55" s="52"/>
      <c r="H55" s="52">
        <f>1641242-H54</f>
        <v>1641242</v>
      </c>
      <c r="I55" s="52"/>
      <c r="J55" s="52"/>
      <c r="K55" s="52"/>
      <c r="L55" s="52"/>
      <c r="M55" s="123"/>
    </row>
    <row r="56" spans="1:13" x14ac:dyDescent="0.25">
      <c r="B56" s="32" t="s">
        <v>31</v>
      </c>
      <c r="C56" s="48"/>
      <c r="D56" s="46"/>
      <c r="E56" s="48"/>
      <c r="F56" s="48"/>
      <c r="G56" s="48"/>
      <c r="H56" s="48">
        <v>0</v>
      </c>
      <c r="I56" s="46"/>
      <c r="J56" s="46"/>
      <c r="K56" s="46"/>
      <c r="L56" s="46"/>
      <c r="M56" s="133"/>
    </row>
    <row r="57" spans="1:13" x14ac:dyDescent="0.25">
      <c r="B57" s="32" t="s">
        <v>187</v>
      </c>
      <c r="C57" s="48">
        <f>SUM(C58:C59)</f>
        <v>0</v>
      </c>
      <c r="D57" s="48">
        <f t="shared" ref="D57:M57" si="17">SUM(D58:D59)</f>
        <v>0</v>
      </c>
      <c r="E57" s="48">
        <f t="shared" si="17"/>
        <v>0</v>
      </c>
      <c r="F57" s="48">
        <f t="shared" si="17"/>
        <v>0</v>
      </c>
      <c r="G57" s="48">
        <f t="shared" si="17"/>
        <v>0</v>
      </c>
      <c r="H57" s="48">
        <f t="shared" si="17"/>
        <v>0</v>
      </c>
      <c r="I57" s="48">
        <f t="shared" si="17"/>
        <v>0</v>
      </c>
      <c r="J57" s="48">
        <f t="shared" si="17"/>
        <v>0</v>
      </c>
      <c r="K57" s="48">
        <f t="shared" si="17"/>
        <v>0</v>
      </c>
      <c r="L57" s="48">
        <f t="shared" si="17"/>
        <v>0</v>
      </c>
      <c r="M57" s="48">
        <f t="shared" si="17"/>
        <v>0</v>
      </c>
    </row>
    <row r="58" spans="1:13" x14ac:dyDescent="0.25">
      <c r="B58" s="17" t="s">
        <v>76</v>
      </c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>
        <f>SUM(C58:L58)</f>
        <v>0</v>
      </c>
    </row>
    <row r="59" spans="1:13" x14ac:dyDescent="0.25">
      <c r="B59" s="17" t="s">
        <v>177</v>
      </c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>
        <f>SUM(C59:L59)</f>
        <v>0</v>
      </c>
    </row>
    <row r="60" spans="1:13" x14ac:dyDescent="0.25">
      <c r="B60" s="17" t="s">
        <v>185</v>
      </c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122">
        <f t="shared" ref="M60:M65" si="18">SUM(C60:L60)</f>
        <v>0</v>
      </c>
    </row>
    <row r="61" spans="1:13" x14ac:dyDescent="0.25">
      <c r="B61" s="17" t="s">
        <v>79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122">
        <f t="shared" si="18"/>
        <v>0</v>
      </c>
    </row>
    <row r="62" spans="1:13" x14ac:dyDescent="0.25">
      <c r="B62" s="17" t="s">
        <v>182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122">
        <f t="shared" si="18"/>
        <v>0</v>
      </c>
    </row>
    <row r="63" spans="1:13" x14ac:dyDescent="0.25">
      <c r="B63" s="37" t="s">
        <v>80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122">
        <f>SUM(C63:L63)</f>
        <v>0</v>
      </c>
    </row>
    <row r="64" spans="1:13" ht="13.5" customHeight="1" x14ac:dyDescent="0.25">
      <c r="B64" s="17" t="s">
        <v>32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122">
        <f t="shared" si="18"/>
        <v>0</v>
      </c>
    </row>
    <row r="65" spans="2:13" x14ac:dyDescent="0.25">
      <c r="B65" s="37" t="s">
        <v>179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122">
        <f t="shared" si="18"/>
        <v>0</v>
      </c>
    </row>
    <row r="66" spans="2:13" x14ac:dyDescent="0.25">
      <c r="B66" s="32" t="s">
        <v>33</v>
      </c>
      <c r="C66" s="55">
        <f>SUM(C60:C65)+C57</f>
        <v>0</v>
      </c>
      <c r="D66" s="55">
        <f t="shared" ref="D66:M66" si="19">SUM(D60:D65)+D57</f>
        <v>0</v>
      </c>
      <c r="E66" s="55">
        <f t="shared" si="19"/>
        <v>0</v>
      </c>
      <c r="F66" s="55">
        <f t="shared" si="19"/>
        <v>0</v>
      </c>
      <c r="G66" s="55">
        <f t="shared" si="19"/>
        <v>0</v>
      </c>
      <c r="H66" s="55">
        <f t="shared" si="19"/>
        <v>0</v>
      </c>
      <c r="I66" s="55">
        <f t="shared" si="19"/>
        <v>0</v>
      </c>
      <c r="J66" s="55">
        <f t="shared" si="19"/>
        <v>0</v>
      </c>
      <c r="K66" s="55">
        <f>SUM(K60:K65)+K57</f>
        <v>0</v>
      </c>
      <c r="L66" s="55">
        <f t="shared" si="19"/>
        <v>0</v>
      </c>
      <c r="M66" s="55">
        <f t="shared" si="19"/>
        <v>0</v>
      </c>
    </row>
    <row r="67" spans="2:13" x14ac:dyDescent="0.25">
      <c r="B67" s="17"/>
      <c r="M67" s="122">
        <f t="shared" ref="M67:M74" si="20">SUM(C67:L67)</f>
        <v>0</v>
      </c>
    </row>
    <row r="68" spans="2:13" x14ac:dyDescent="0.25">
      <c r="B68" s="17" t="s">
        <v>34</v>
      </c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122">
        <f t="shared" si="20"/>
        <v>0</v>
      </c>
    </row>
    <row r="69" spans="2:13" x14ac:dyDescent="0.25">
      <c r="B69" s="17" t="s">
        <v>35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122">
        <f t="shared" si="20"/>
        <v>0</v>
      </c>
    </row>
    <row r="70" spans="2:13" x14ac:dyDescent="0.25">
      <c r="B70" s="17" t="s">
        <v>36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122">
        <f t="shared" si="20"/>
        <v>0</v>
      </c>
    </row>
    <row r="71" spans="2:13" x14ac:dyDescent="0.25">
      <c r="B71" s="17" t="s">
        <v>189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122">
        <f t="shared" si="20"/>
        <v>0</v>
      </c>
    </row>
    <row r="72" spans="2:13" x14ac:dyDescent="0.25">
      <c r="B72" s="17" t="s">
        <v>180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122">
        <f t="shared" si="20"/>
        <v>0</v>
      </c>
    </row>
    <row r="73" spans="2:13" x14ac:dyDescent="0.25">
      <c r="B73" s="17" t="s">
        <v>181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122">
        <f t="shared" si="20"/>
        <v>0</v>
      </c>
    </row>
    <row r="74" spans="2:13" x14ac:dyDescent="0.25">
      <c r="B74" s="17" t="s">
        <v>37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122">
        <f t="shared" si="20"/>
        <v>0</v>
      </c>
    </row>
    <row r="75" spans="2:13" ht="10.5" customHeight="1" x14ac:dyDescent="0.25">
      <c r="B75" s="23"/>
      <c r="C75" s="60"/>
      <c r="D75" s="19"/>
      <c r="E75" s="60"/>
      <c r="F75" s="60"/>
      <c r="G75" s="60"/>
      <c r="H75" s="60"/>
      <c r="I75" s="19"/>
      <c r="J75" s="19"/>
      <c r="K75" s="19"/>
      <c r="L75" s="19"/>
      <c r="M75" s="122">
        <f t="shared" ref="M75" si="21">C75+D75+E75+G75+H75+I75+K75+L75</f>
        <v>0</v>
      </c>
    </row>
    <row r="76" spans="2:13" x14ac:dyDescent="0.25">
      <c r="B76" s="40" t="s">
        <v>38</v>
      </c>
      <c r="C76" s="61">
        <f t="shared" ref="C76:M76" si="22">SUM(C68:C74)</f>
        <v>0</v>
      </c>
      <c r="D76" s="61">
        <f t="shared" si="22"/>
        <v>0</v>
      </c>
      <c r="E76" s="61">
        <f t="shared" si="22"/>
        <v>0</v>
      </c>
      <c r="F76" s="61">
        <f t="shared" si="22"/>
        <v>0</v>
      </c>
      <c r="G76" s="61">
        <f t="shared" si="22"/>
        <v>0</v>
      </c>
      <c r="H76" s="61">
        <f t="shared" si="22"/>
        <v>0</v>
      </c>
      <c r="I76" s="61">
        <f t="shared" si="22"/>
        <v>0</v>
      </c>
      <c r="J76" s="61">
        <f t="shared" si="22"/>
        <v>0</v>
      </c>
      <c r="K76" s="61">
        <f t="shared" si="22"/>
        <v>0</v>
      </c>
      <c r="L76" s="61">
        <f t="shared" si="22"/>
        <v>0</v>
      </c>
      <c r="M76" s="61">
        <f t="shared" si="22"/>
        <v>0</v>
      </c>
    </row>
    <row r="77" spans="2:13" x14ac:dyDescent="0.25">
      <c r="B77" s="17"/>
      <c r="D77" s="19"/>
      <c r="I77" s="19"/>
      <c r="J77" s="19"/>
      <c r="K77" s="19"/>
      <c r="L77" s="19"/>
      <c r="M77" s="121"/>
    </row>
    <row r="78" spans="2:13" x14ac:dyDescent="0.25">
      <c r="B78" s="32" t="s">
        <v>39</v>
      </c>
      <c r="C78" s="62">
        <f t="shared" ref="C78:M78" si="23">C66+C76</f>
        <v>0</v>
      </c>
      <c r="D78" s="62">
        <f t="shared" si="23"/>
        <v>0</v>
      </c>
      <c r="E78" s="62">
        <f t="shared" si="23"/>
        <v>0</v>
      </c>
      <c r="F78" s="62">
        <f t="shared" si="23"/>
        <v>0</v>
      </c>
      <c r="G78" s="62">
        <f t="shared" si="23"/>
        <v>0</v>
      </c>
      <c r="H78" s="62">
        <f t="shared" si="23"/>
        <v>0</v>
      </c>
      <c r="I78" s="62">
        <f t="shared" si="23"/>
        <v>0</v>
      </c>
      <c r="J78" s="62">
        <f t="shared" si="23"/>
        <v>0</v>
      </c>
      <c r="K78" s="62">
        <f t="shared" si="23"/>
        <v>0</v>
      </c>
      <c r="L78" s="62">
        <f t="shared" si="23"/>
        <v>0</v>
      </c>
      <c r="M78" s="62">
        <f t="shared" si="23"/>
        <v>0</v>
      </c>
    </row>
    <row r="79" spans="2:13" x14ac:dyDescent="0.25">
      <c r="B79" s="17"/>
      <c r="C79" s="297">
        <f t="shared" ref="C79:M79" si="24">C54-C78</f>
        <v>0</v>
      </c>
      <c r="D79" s="297">
        <f t="shared" si="24"/>
        <v>0</v>
      </c>
      <c r="E79" s="297">
        <f t="shared" si="24"/>
        <v>0</v>
      </c>
      <c r="F79" s="297">
        <f t="shared" si="24"/>
        <v>0</v>
      </c>
      <c r="G79" s="297">
        <f t="shared" si="24"/>
        <v>0</v>
      </c>
      <c r="H79" s="297">
        <f t="shared" si="24"/>
        <v>0</v>
      </c>
      <c r="I79" s="297">
        <f t="shared" si="24"/>
        <v>0</v>
      </c>
      <c r="J79" s="297">
        <f t="shared" si="24"/>
        <v>0</v>
      </c>
      <c r="K79" s="297">
        <f t="shared" si="24"/>
        <v>0</v>
      </c>
      <c r="L79" s="297">
        <f t="shared" si="24"/>
        <v>0</v>
      </c>
      <c r="M79" s="137">
        <f t="shared" si="24"/>
        <v>0</v>
      </c>
    </row>
    <row r="80" spans="2:13" x14ac:dyDescent="0.25">
      <c r="B80" s="17" t="s">
        <v>40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/>
      <c r="K80" s="58">
        <v>0</v>
      </c>
      <c r="L80" s="58">
        <v>0</v>
      </c>
      <c r="M80" s="122">
        <f>SUM(C80:L80)</f>
        <v>0</v>
      </c>
    </row>
    <row r="81" spans="2:13" x14ac:dyDescent="0.25">
      <c r="B81" s="17" t="s">
        <v>41</v>
      </c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122">
        <f>SUM(C81:L81)</f>
        <v>0</v>
      </c>
    </row>
    <row r="82" spans="2:13" ht="13.5" thickBot="1" x14ac:dyDescent="0.3">
      <c r="B82" s="40" t="s">
        <v>42</v>
      </c>
      <c r="C82" s="66">
        <f t="shared" ref="C82:M82" si="25">SUM(C80:C81)</f>
        <v>0</v>
      </c>
      <c r="D82" s="66">
        <f t="shared" si="25"/>
        <v>0</v>
      </c>
      <c r="E82" s="67">
        <f t="shared" si="25"/>
        <v>0</v>
      </c>
      <c r="F82" s="67">
        <f t="shared" si="25"/>
        <v>0</v>
      </c>
      <c r="G82" s="67">
        <f t="shared" si="25"/>
        <v>0</v>
      </c>
      <c r="H82" s="67">
        <f t="shared" si="25"/>
        <v>0</v>
      </c>
      <c r="I82" s="67">
        <f t="shared" si="25"/>
        <v>0</v>
      </c>
      <c r="J82" s="67"/>
      <c r="K82" s="67">
        <f t="shared" si="25"/>
        <v>0</v>
      </c>
      <c r="L82" s="67">
        <f t="shared" si="25"/>
        <v>0</v>
      </c>
      <c r="M82" s="138">
        <f t="shared" si="25"/>
        <v>0</v>
      </c>
    </row>
    <row r="83" spans="2:13" ht="13.5" hidden="1" thickTop="1" x14ac:dyDescent="0.25">
      <c r="B83" s="40" t="s">
        <v>43</v>
      </c>
      <c r="C83" s="65"/>
      <c r="D83" s="20"/>
      <c r="E83" s="65"/>
      <c r="F83" s="65"/>
      <c r="G83" s="65"/>
      <c r="H83" s="22"/>
      <c r="I83" s="20"/>
      <c r="J83" s="20"/>
      <c r="K83" s="20"/>
      <c r="L83" s="20"/>
      <c r="M83" s="123" t="e">
        <f>C83+D83+E83+G83+H83+I83+#REF!+K83+L83+#REF!+#REF!+#REF!+#REF!+#REF!+#REF!+#REF!+#REF!</f>
        <v>#REF!</v>
      </c>
    </row>
    <row r="84" spans="2:13" ht="13.5" hidden="1" thickTop="1" x14ac:dyDescent="0.25">
      <c r="B84" s="40" t="s">
        <v>44</v>
      </c>
      <c r="C84" s="65"/>
      <c r="D84" s="20"/>
      <c r="E84" s="65"/>
      <c r="F84" s="65"/>
      <c r="G84" s="65"/>
      <c r="H84" s="65"/>
      <c r="I84" s="20"/>
      <c r="J84" s="20"/>
      <c r="K84" s="20"/>
      <c r="L84" s="20"/>
      <c r="M84" s="123" t="e">
        <f>C84+D84+E84+G84+H84+I84+#REF!+K84+L84+#REF!+#REF!+#REF!+#REF!+#REF!+#REF!+#REF!+#REF!</f>
        <v>#REF!</v>
      </c>
    </row>
    <row r="85" spans="2:13" ht="13.5" hidden="1" thickTop="1" x14ac:dyDescent="0.25">
      <c r="B85" s="40" t="s">
        <v>45</v>
      </c>
      <c r="C85" s="20">
        <f t="shared" ref="C85:M85" si="26">SUM(C86:C87)</f>
        <v>0</v>
      </c>
      <c r="D85" s="20">
        <f t="shared" si="26"/>
        <v>0</v>
      </c>
      <c r="E85" s="20">
        <f t="shared" si="26"/>
        <v>0</v>
      </c>
      <c r="F85" s="20"/>
      <c r="G85" s="20">
        <f t="shared" si="26"/>
        <v>0</v>
      </c>
      <c r="H85" s="20">
        <f t="shared" si="26"/>
        <v>0</v>
      </c>
      <c r="I85" s="20">
        <f t="shared" si="26"/>
        <v>0</v>
      </c>
      <c r="J85" s="20"/>
      <c r="K85" s="20">
        <f t="shared" si="26"/>
        <v>0</v>
      </c>
      <c r="L85" s="20">
        <f t="shared" si="26"/>
        <v>0</v>
      </c>
      <c r="M85" s="123" t="e">
        <f t="shared" si="26"/>
        <v>#REF!</v>
      </c>
    </row>
    <row r="86" spans="2:13" ht="13.5" hidden="1" thickTop="1" x14ac:dyDescent="0.25">
      <c r="B86" s="68" t="s">
        <v>46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139" t="e">
        <f>C86+D86+E86+G86+H86+I86+#REF!+K86+L86+#REF!+#REF!+#REF!+#REF!+#REF!+#REF!+#REF!+#REF!</f>
        <v>#REF!</v>
      </c>
    </row>
    <row r="87" spans="2:13" ht="13.5" hidden="1" thickTop="1" x14ac:dyDescent="0.25">
      <c r="B87" s="68" t="s">
        <v>47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140" t="e">
        <f>C87+D87+E87+G87+H87+I87+#REF!+K87+L87+#REF!+#REF!+#REF!+#REF!+#REF!+#REF!+#REF!+#REF!</f>
        <v>#REF!</v>
      </c>
    </row>
    <row r="88" spans="2:13" ht="13.5" hidden="1" thickTop="1" x14ac:dyDescent="0.25">
      <c r="B88" s="68" t="s">
        <v>48</v>
      </c>
      <c r="C88" s="65"/>
      <c r="D88" s="20"/>
      <c r="E88" s="65"/>
      <c r="F88" s="65"/>
      <c r="G88" s="65">
        <v>0</v>
      </c>
      <c r="H88" s="65"/>
      <c r="I88" s="20"/>
      <c r="J88" s="20"/>
      <c r="K88" s="20"/>
      <c r="L88" s="20"/>
      <c r="M88" s="123"/>
    </row>
    <row r="89" spans="2:13" ht="13.5" hidden="1" thickTop="1" x14ac:dyDescent="0.25">
      <c r="B89" s="71" t="s">
        <v>49</v>
      </c>
      <c r="C89" s="65"/>
      <c r="D89" s="20"/>
      <c r="E89" s="65"/>
      <c r="F89" s="65"/>
      <c r="G89" s="65"/>
      <c r="H89" s="65"/>
      <c r="I89" s="20"/>
      <c r="J89" s="20"/>
      <c r="K89" s="20"/>
      <c r="L89" s="20"/>
      <c r="M89" s="123"/>
    </row>
    <row r="90" spans="2:13" ht="13.5" hidden="1" thickTop="1" x14ac:dyDescent="0.25">
      <c r="B90" s="3" t="s">
        <v>50</v>
      </c>
      <c r="D90" s="20"/>
      <c r="I90" s="20"/>
      <c r="J90" s="20"/>
      <c r="K90" s="20"/>
      <c r="L90" s="20"/>
      <c r="M90" s="123"/>
    </row>
    <row r="91" spans="2:13" ht="13.5" hidden="1" thickTop="1" x14ac:dyDescent="0.25">
      <c r="B91" s="72" t="s">
        <v>51</v>
      </c>
      <c r="C91" s="73"/>
      <c r="D91" s="73"/>
      <c r="E91" s="73"/>
      <c r="F91" s="73"/>
      <c r="G91" s="73"/>
      <c r="H91" s="73"/>
      <c r="I91" s="72"/>
      <c r="J91" s="72"/>
      <c r="K91" s="74"/>
      <c r="L91" s="73"/>
      <c r="M91" s="124" t="e">
        <f>C91+D91+E91+G91+H91+I91+#REF!+K91+L91+#REF!+#REF!+#REF!+#REF!+#REF!+#REF!+#REF!+#REF!</f>
        <v>#REF!</v>
      </c>
    </row>
    <row r="92" spans="2:13" ht="13.5" hidden="1" thickTop="1" x14ac:dyDescent="0.25"/>
    <row r="93" spans="2:13" ht="13.5" thickTop="1" x14ac:dyDescent="0.25">
      <c r="B93" s="56"/>
      <c r="C93" s="56"/>
      <c r="D93" s="75"/>
      <c r="E93" s="56"/>
      <c r="F93" s="56"/>
      <c r="G93" s="56"/>
      <c r="H93" s="56"/>
      <c r="I93" s="56"/>
      <c r="J93" s="56"/>
      <c r="K93" s="75"/>
      <c r="L93" s="75"/>
      <c r="M93" s="141"/>
    </row>
    <row r="94" spans="2:13" x14ac:dyDescent="0.25">
      <c r="B94" s="10" t="s">
        <v>52</v>
      </c>
      <c r="C94" s="10"/>
      <c r="D94" s="77"/>
      <c r="E94" s="10"/>
      <c r="F94" s="10"/>
      <c r="G94" s="10"/>
      <c r="H94" s="10"/>
      <c r="I94" s="77"/>
      <c r="J94" s="77"/>
      <c r="K94" s="77"/>
      <c r="L94" s="77"/>
      <c r="M94" s="142"/>
    </row>
    <row r="95" spans="2:13" x14ac:dyDescent="0.25">
      <c r="B95" s="56" t="s">
        <v>53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122">
        <f>SUM(C95:L95)</f>
        <v>0</v>
      </c>
    </row>
    <row r="96" spans="2:13" x14ac:dyDescent="0.25">
      <c r="B96" s="52"/>
      <c r="C96" s="52"/>
      <c r="D96" s="79"/>
      <c r="E96" s="52"/>
      <c r="F96" s="52"/>
      <c r="G96" s="52"/>
      <c r="H96" s="52"/>
      <c r="I96" s="81"/>
      <c r="J96" s="81"/>
      <c r="K96" s="81"/>
      <c r="L96" s="81"/>
      <c r="M96" s="143"/>
    </row>
    <row r="97" spans="2:13" ht="13.5" thickBot="1" x14ac:dyDescent="0.3">
      <c r="B97" s="82" t="s">
        <v>54</v>
      </c>
      <c r="C97" s="83"/>
      <c r="D97" s="84"/>
      <c r="E97" s="83"/>
      <c r="F97" s="83"/>
      <c r="G97" s="83"/>
      <c r="H97" s="83"/>
      <c r="I97" s="84"/>
      <c r="J97" s="84"/>
      <c r="K97" s="84"/>
      <c r="L97" s="84"/>
      <c r="M97" s="144"/>
    </row>
    <row r="98" spans="2:13" x14ac:dyDescent="0.25">
      <c r="B98" s="85" t="s">
        <v>55</v>
      </c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122">
        <f>SUM(C98:L98)</f>
        <v>0</v>
      </c>
    </row>
    <row r="99" spans="2:13" ht="13.5" thickBot="1" x14ac:dyDescent="0.3">
      <c r="B99" s="87" t="s">
        <v>56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122">
        <f>SUM(C99:L99)</f>
        <v>0</v>
      </c>
    </row>
    <row r="100" spans="2:13" ht="13.5" thickBot="1" x14ac:dyDescent="0.3">
      <c r="B100" s="89" t="s">
        <v>57</v>
      </c>
      <c r="C100" s="90">
        <f t="shared" ref="C100:M100" si="27">SUM(C98:C99)</f>
        <v>0</v>
      </c>
      <c r="D100" s="90">
        <f t="shared" si="27"/>
        <v>0</v>
      </c>
      <c r="E100" s="90">
        <f t="shared" si="27"/>
        <v>0</v>
      </c>
      <c r="F100" s="90">
        <f t="shared" si="27"/>
        <v>0</v>
      </c>
      <c r="G100" s="90">
        <f t="shared" si="27"/>
        <v>0</v>
      </c>
      <c r="H100" s="90">
        <f t="shared" si="27"/>
        <v>0</v>
      </c>
      <c r="I100" s="90">
        <f t="shared" si="27"/>
        <v>0</v>
      </c>
      <c r="J100" s="90">
        <f t="shared" si="27"/>
        <v>0</v>
      </c>
      <c r="K100" s="90">
        <f t="shared" si="27"/>
        <v>0</v>
      </c>
      <c r="L100" s="90">
        <f t="shared" si="27"/>
        <v>0</v>
      </c>
      <c r="M100" s="145">
        <f t="shared" si="27"/>
        <v>0</v>
      </c>
    </row>
    <row r="101" spans="2:13" ht="14.45" hidden="1" customHeight="1" x14ac:dyDescent="0.25"/>
    <row r="102" spans="2:13" ht="14.45" hidden="1" customHeight="1" x14ac:dyDescent="0.25"/>
    <row r="103" spans="2:13" ht="13.9" hidden="1" customHeight="1" x14ac:dyDescent="0.25">
      <c r="B103" s="91" t="s">
        <v>58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146"/>
    </row>
    <row r="104" spans="2:13" ht="13.9" hidden="1" customHeight="1" x14ac:dyDescent="0.25">
      <c r="B104" s="93" t="s">
        <v>59</v>
      </c>
      <c r="C104" s="20" t="e">
        <f>IF(#REF!&gt;#REF!,#REF!-#REF!,0)</f>
        <v>#REF!</v>
      </c>
      <c r="D104" s="20" t="e">
        <f>IF(#REF!&gt;#REF!,#REF!-#REF!,0)</f>
        <v>#REF!</v>
      </c>
      <c r="E104" s="20" t="e">
        <f>IF(#REF!&gt;#REF!,#REF!-#REF!,0)</f>
        <v>#REF!</v>
      </c>
      <c r="F104" s="20" t="e">
        <f>IF(#REF!&gt;#REF!,#REF!-#REF!,0)</f>
        <v>#REF!</v>
      </c>
      <c r="G104" s="20" t="e">
        <f>IF(#REF!&gt;#REF!,#REF!-#REF!,0)</f>
        <v>#REF!</v>
      </c>
      <c r="H104" s="20" t="e">
        <f>IF(#REF!&gt;#REF!,#REF!-#REF!,0)</f>
        <v>#REF!</v>
      </c>
      <c r="I104" s="20" t="e">
        <f>IF(#REF!&gt;#REF!,#REF!-#REF!,0)</f>
        <v>#REF!</v>
      </c>
      <c r="J104" s="20"/>
      <c r="K104" s="20" t="e">
        <f>IF(#REF!&gt;#REF!,#REF!-#REF!,0)</f>
        <v>#REF!</v>
      </c>
      <c r="L104" s="20" t="e">
        <f>IF(#REF!&gt;#REF!,#REF!-#REF!,0)</f>
        <v>#REF!</v>
      </c>
      <c r="M104" s="123" t="e">
        <f>IF(#REF!&gt;#REF!,#REF!-#REF!,0)</f>
        <v>#REF!</v>
      </c>
    </row>
    <row r="105" spans="2:13" ht="13.9" hidden="1" customHeight="1" x14ac:dyDescent="0.25">
      <c r="B105" s="93" t="s">
        <v>60</v>
      </c>
      <c r="C105" s="94" t="e">
        <f>'[1]Scenarios and assumptions'!#REF!</f>
        <v>#REF!</v>
      </c>
      <c r="D105" s="94" t="e">
        <f>'[1]Scenarios and assumptions'!#REF!</f>
        <v>#REF!</v>
      </c>
      <c r="E105" s="94" t="e">
        <f>'[1]Scenarios and assumptions'!#REF!</f>
        <v>#REF!</v>
      </c>
      <c r="F105" s="94" t="e">
        <f>'[1]Scenarios and assumptions'!#REF!</f>
        <v>#REF!</v>
      </c>
      <c r="G105" s="94" t="e">
        <f>'[1]Scenarios and assumptions'!#REF!</f>
        <v>#REF!</v>
      </c>
      <c r="H105" s="94" t="e">
        <f>'[1]Scenarios and assumptions'!#REF!</f>
        <v>#REF!</v>
      </c>
      <c r="I105" s="94" t="str">
        <f>'[1]Scenarios and assumptions'!B36</f>
        <v>Target dividend payout ratio</v>
      </c>
      <c r="J105" s="94"/>
      <c r="K105" s="94">
        <f>'[1]Scenarios and assumptions'!H36</f>
        <v>0</v>
      </c>
      <c r="L105" s="94">
        <f>'[1]Scenarios and assumptions'!K36</f>
        <v>0</v>
      </c>
      <c r="M105" s="147">
        <f>'[1]Scenarios and assumptions'!AI36</f>
        <v>0</v>
      </c>
    </row>
    <row r="106" spans="2:13" ht="13.9" hidden="1" customHeight="1" x14ac:dyDescent="0.25">
      <c r="B106" s="93" t="s">
        <v>61</v>
      </c>
      <c r="C106" s="95" t="e">
        <f t="shared" ref="C106:M106" si="28">C104*C105</f>
        <v>#REF!</v>
      </c>
      <c r="D106" s="95" t="e">
        <f t="shared" si="28"/>
        <v>#REF!</v>
      </c>
      <c r="E106" s="95" t="e">
        <f t="shared" si="28"/>
        <v>#REF!</v>
      </c>
      <c r="F106" s="95" t="e">
        <f t="shared" si="28"/>
        <v>#REF!</v>
      </c>
      <c r="G106" s="95" t="e">
        <f t="shared" si="28"/>
        <v>#REF!</v>
      </c>
      <c r="H106" s="95" t="e">
        <f t="shared" si="28"/>
        <v>#REF!</v>
      </c>
      <c r="I106" s="95" t="e">
        <f t="shared" si="28"/>
        <v>#REF!</v>
      </c>
      <c r="J106" s="95"/>
      <c r="K106" s="95" t="e">
        <f t="shared" si="28"/>
        <v>#REF!</v>
      </c>
      <c r="L106" s="95" t="e">
        <f t="shared" si="28"/>
        <v>#REF!</v>
      </c>
      <c r="M106" s="148" t="e">
        <f t="shared" si="28"/>
        <v>#REF!</v>
      </c>
    </row>
    <row r="107" spans="2:13" ht="13.9" hidden="1" customHeight="1" x14ac:dyDescent="0.25"/>
    <row r="108" spans="2:13" ht="13.9" hidden="1" customHeight="1" x14ac:dyDescent="0.25">
      <c r="C108" s="46" t="e">
        <f>(#REF!+#REF!)/#REF!</f>
        <v>#REF!</v>
      </c>
      <c r="D108" s="46" t="e">
        <f>(#REF!+#REF!)/#REF!</f>
        <v>#REF!</v>
      </c>
      <c r="E108" s="46" t="e">
        <f>(#REF!+#REF!)/#REF!</f>
        <v>#REF!</v>
      </c>
      <c r="F108" s="46" t="e">
        <f>(#REF!+#REF!)/#REF!</f>
        <v>#REF!</v>
      </c>
      <c r="G108" s="46" t="e">
        <f>(#REF!+#REF!)/#REF!</f>
        <v>#REF!</v>
      </c>
      <c r="H108" s="46" t="e">
        <f>(#REF!+#REF!)/#REF!</f>
        <v>#REF!</v>
      </c>
      <c r="I108" s="46" t="e">
        <f>(#REF!+#REF!)/#REF!</f>
        <v>#REF!</v>
      </c>
      <c r="J108" s="46"/>
      <c r="K108" s="46" t="e">
        <f>(#REF!+#REF!)/#REF!</f>
        <v>#REF!</v>
      </c>
      <c r="L108" s="46" t="e">
        <f>(#REF!+#REF!)/#REF!</f>
        <v>#REF!</v>
      </c>
      <c r="M108" s="133" t="e">
        <f>(#REF!+#REF!)/#REF!</f>
        <v>#REF!</v>
      </c>
    </row>
    <row r="109" spans="2:13" ht="14.45" hidden="1" customHeight="1" x14ac:dyDescent="0.25"/>
    <row r="110" spans="2:13" ht="14.45" hidden="1" customHeight="1" x14ac:dyDescent="0.25">
      <c r="B110" s="96" t="s">
        <v>62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149"/>
    </row>
    <row r="111" spans="2:13" ht="14.45" hidden="1" customHeight="1" x14ac:dyDescent="0.25">
      <c r="B111" s="98" t="s">
        <v>55</v>
      </c>
      <c r="C111" s="99" t="e">
        <f>C98/#REF!</f>
        <v>#REF!</v>
      </c>
      <c r="D111" s="99" t="e">
        <f>D98/#REF!</f>
        <v>#REF!</v>
      </c>
      <c r="E111" s="99" t="e">
        <f>E98/#REF!</f>
        <v>#REF!</v>
      </c>
      <c r="F111" s="99" t="e">
        <f>F98/#REF!</f>
        <v>#REF!</v>
      </c>
      <c r="G111" s="99" t="e">
        <f>G98/#REF!</f>
        <v>#REF!</v>
      </c>
      <c r="H111" s="99" t="e">
        <f>H98/#REF!</f>
        <v>#REF!</v>
      </c>
      <c r="I111" s="99" t="e">
        <f>I98/#REF!</f>
        <v>#REF!</v>
      </c>
      <c r="J111" s="99"/>
      <c r="K111" s="99" t="e">
        <f>K98/#REF!</f>
        <v>#REF!</v>
      </c>
      <c r="L111" s="99" t="e">
        <f>L98/#REF!</f>
        <v>#REF!</v>
      </c>
      <c r="M111" s="150" t="e">
        <f>M98/#REF!</f>
        <v>#REF!</v>
      </c>
    </row>
    <row r="112" spans="2:13" ht="14.45" hidden="1" customHeight="1" x14ac:dyDescent="0.25">
      <c r="B112" s="100" t="s">
        <v>56</v>
      </c>
      <c r="C112" s="101" t="e">
        <f>C99/#REF!</f>
        <v>#REF!</v>
      </c>
      <c r="D112" s="101" t="e">
        <f>D99/#REF!</f>
        <v>#REF!</v>
      </c>
      <c r="E112" s="101" t="e">
        <f>E99/#REF!</f>
        <v>#REF!</v>
      </c>
      <c r="F112" s="101" t="e">
        <f>F99/#REF!</f>
        <v>#REF!</v>
      </c>
      <c r="G112" s="101" t="e">
        <f>G99/#REF!</f>
        <v>#REF!</v>
      </c>
      <c r="H112" s="101" t="e">
        <f>H99/#REF!</f>
        <v>#REF!</v>
      </c>
      <c r="I112" s="101" t="e">
        <f>I99/#REF!</f>
        <v>#REF!</v>
      </c>
      <c r="J112" s="101"/>
      <c r="K112" s="101" t="e">
        <f>K99/#REF!</f>
        <v>#REF!</v>
      </c>
      <c r="L112" s="101" t="e">
        <f>L99/#REF!</f>
        <v>#REF!</v>
      </c>
      <c r="M112" s="151" t="e">
        <f>M99/#REF!</f>
        <v>#REF!</v>
      </c>
    </row>
    <row r="113" spans="2:13" ht="14.45" hidden="1" customHeight="1" x14ac:dyDescent="0.25">
      <c r="B113" s="102" t="s">
        <v>57</v>
      </c>
      <c r="C113" s="103" t="e">
        <f>C100/#REF!</f>
        <v>#REF!</v>
      </c>
      <c r="D113" s="103" t="e">
        <f>D100/#REF!</f>
        <v>#REF!</v>
      </c>
      <c r="E113" s="103" t="e">
        <f>E100/#REF!</f>
        <v>#REF!</v>
      </c>
      <c r="F113" s="103" t="e">
        <f>F100/#REF!</f>
        <v>#REF!</v>
      </c>
      <c r="G113" s="103" t="e">
        <f>G100/#REF!</f>
        <v>#REF!</v>
      </c>
      <c r="H113" s="103" t="e">
        <f>H100/#REF!</f>
        <v>#REF!</v>
      </c>
      <c r="I113" s="103" t="e">
        <f>I100/#REF!</f>
        <v>#REF!</v>
      </c>
      <c r="J113" s="103"/>
      <c r="K113" s="103" t="e">
        <f>K100/#REF!</f>
        <v>#REF!</v>
      </c>
      <c r="L113" s="103" t="e">
        <f>L100/#REF!</f>
        <v>#REF!</v>
      </c>
      <c r="M113" s="152" t="e">
        <f>M100/#REF!</f>
        <v>#REF!</v>
      </c>
    </row>
    <row r="114" spans="2:13" ht="14.45" hidden="1" customHeight="1" x14ac:dyDescent="0.25"/>
    <row r="115" spans="2:13" ht="14.45" hidden="1" customHeight="1" x14ac:dyDescent="0.25"/>
    <row r="116" spans="2:13" ht="14.45" hidden="1" customHeight="1" x14ac:dyDescent="0.25">
      <c r="B116" s="96" t="s">
        <v>63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149"/>
    </row>
    <row r="117" spans="2:13" ht="14.45" hidden="1" customHeight="1" x14ac:dyDescent="0.25">
      <c r="B117" s="104" t="s">
        <v>55</v>
      </c>
      <c r="C117" s="105" t="e">
        <f>+SUM(C68:C68,C72)/#REF!</f>
        <v>#REF!</v>
      </c>
      <c r="D117" s="105" t="e">
        <f>+SUM(D68:D68,D72)/#REF!</f>
        <v>#REF!</v>
      </c>
      <c r="E117" s="105" t="e">
        <f>+SUM(E68:E68,E72)/#REF!</f>
        <v>#REF!</v>
      </c>
      <c r="F117" s="105" t="e">
        <f>+SUM(F68:F68,F72)/#REF!</f>
        <v>#REF!</v>
      </c>
      <c r="G117" s="105" t="e">
        <f>+SUM(G68:G68,G72)/#REF!</f>
        <v>#REF!</v>
      </c>
      <c r="H117" s="105" t="e">
        <f>+SUM(H68:H68,H72)/#REF!</f>
        <v>#REF!</v>
      </c>
      <c r="I117" s="105" t="e">
        <f>+SUM(I68:I68,I72)/#REF!</f>
        <v>#REF!</v>
      </c>
      <c r="J117" s="105"/>
      <c r="K117" s="105" t="e">
        <f>+SUM(K68:K68,K72)/#REF!</f>
        <v>#REF!</v>
      </c>
      <c r="L117" s="105" t="e">
        <f>+SUM(L68:L68,L72)/#REF!</f>
        <v>#REF!</v>
      </c>
      <c r="M117" s="150" t="e">
        <f>+SUM(M68:M68,M72)/#REF!</f>
        <v>#REF!</v>
      </c>
    </row>
    <row r="118" spans="2:13" ht="14.45" hidden="1" customHeight="1" x14ac:dyDescent="0.25">
      <c r="B118" s="106" t="s">
        <v>56</v>
      </c>
      <c r="C118" s="107" t="e">
        <f>SUM(C63,#REF!)/#REF!</f>
        <v>#REF!</v>
      </c>
      <c r="D118" s="107" t="e">
        <f>SUM(D63,#REF!)/#REF!</f>
        <v>#REF!</v>
      </c>
      <c r="E118" s="107" t="e">
        <f>SUM(E63,#REF!)/#REF!</f>
        <v>#REF!</v>
      </c>
      <c r="F118" s="107" t="e">
        <f>SUM(F63,#REF!)/#REF!</f>
        <v>#REF!</v>
      </c>
      <c r="G118" s="107" t="e">
        <f>SUM(G63,#REF!)/#REF!</f>
        <v>#REF!</v>
      </c>
      <c r="H118" s="107" t="e">
        <f>SUM(H63,#REF!)/#REF!</f>
        <v>#REF!</v>
      </c>
      <c r="I118" s="107" t="e">
        <f>SUM(I63,#REF!)/#REF!</f>
        <v>#REF!</v>
      </c>
      <c r="J118" s="107"/>
      <c r="K118" s="107" t="e">
        <f>SUM(K63,#REF!)/#REF!</f>
        <v>#REF!</v>
      </c>
      <c r="L118" s="107" t="e">
        <f>SUM(L63,#REF!)/#REF!</f>
        <v>#REF!</v>
      </c>
      <c r="M118" s="151" t="e">
        <f>SUM(M63,#REF!)/#REF!</f>
        <v>#REF!</v>
      </c>
    </row>
    <row r="119" spans="2:13" ht="14.45" hidden="1" customHeight="1" x14ac:dyDescent="0.25">
      <c r="B119" s="108" t="s">
        <v>57</v>
      </c>
      <c r="C119" s="109" t="e">
        <f t="shared" ref="C119:M119" si="29">+C117+C118</f>
        <v>#REF!</v>
      </c>
      <c r="D119" s="109" t="e">
        <f t="shared" si="29"/>
        <v>#REF!</v>
      </c>
      <c r="E119" s="109" t="e">
        <f t="shared" si="29"/>
        <v>#REF!</v>
      </c>
      <c r="F119" s="109" t="e">
        <f t="shared" si="29"/>
        <v>#REF!</v>
      </c>
      <c r="G119" s="109" t="e">
        <f t="shared" si="29"/>
        <v>#REF!</v>
      </c>
      <c r="H119" s="109" t="e">
        <f t="shared" si="29"/>
        <v>#REF!</v>
      </c>
      <c r="I119" s="109" t="e">
        <f t="shared" si="29"/>
        <v>#REF!</v>
      </c>
      <c r="J119" s="109"/>
      <c r="K119" s="109" t="e">
        <f t="shared" si="29"/>
        <v>#REF!</v>
      </c>
      <c r="L119" s="109" t="e">
        <f t="shared" si="29"/>
        <v>#REF!</v>
      </c>
      <c r="M119" s="152" t="e">
        <f t="shared" si="29"/>
        <v>#REF!</v>
      </c>
    </row>
    <row r="120" spans="2:13" ht="13.5" thickBot="1" x14ac:dyDescent="0.3">
      <c r="B120" s="110" t="s">
        <v>64</v>
      </c>
      <c r="C120" s="111" t="e">
        <f t="shared" ref="C120:M120" si="30">C100/C95</f>
        <v>#DIV/0!</v>
      </c>
      <c r="D120" s="111" t="e">
        <f t="shared" si="30"/>
        <v>#DIV/0!</v>
      </c>
      <c r="E120" s="111" t="e">
        <f t="shared" si="30"/>
        <v>#DIV/0!</v>
      </c>
      <c r="F120" s="111" t="e">
        <f t="shared" si="30"/>
        <v>#DIV/0!</v>
      </c>
      <c r="G120" s="111" t="e">
        <f t="shared" si="30"/>
        <v>#DIV/0!</v>
      </c>
      <c r="H120" s="111" t="e">
        <f t="shared" si="30"/>
        <v>#DIV/0!</v>
      </c>
      <c r="I120" s="111" t="e">
        <f t="shared" si="30"/>
        <v>#DIV/0!</v>
      </c>
      <c r="J120" s="111" t="e">
        <f t="shared" si="30"/>
        <v>#DIV/0!</v>
      </c>
      <c r="K120" s="111" t="e">
        <f t="shared" si="30"/>
        <v>#DIV/0!</v>
      </c>
      <c r="L120" s="111" t="e">
        <f t="shared" si="30"/>
        <v>#DIV/0!</v>
      </c>
      <c r="M120" s="153" t="e">
        <f t="shared" si="30"/>
        <v>#DIV/0!</v>
      </c>
    </row>
    <row r="121" spans="2:13" ht="13.5" thickBot="1" x14ac:dyDescent="0.3">
      <c r="B121" s="82" t="s">
        <v>54</v>
      </c>
      <c r="C121" s="83"/>
      <c r="D121" s="84"/>
      <c r="E121" s="83"/>
      <c r="F121" s="83"/>
      <c r="G121" s="83"/>
      <c r="H121" s="83"/>
      <c r="I121" s="84"/>
      <c r="J121" s="84"/>
      <c r="K121" s="84"/>
      <c r="L121" s="84"/>
      <c r="M121" s="144"/>
    </row>
    <row r="122" spans="2:13" x14ac:dyDescent="0.25">
      <c r="B122" s="85" t="s">
        <v>55</v>
      </c>
      <c r="C122" s="112" t="e">
        <f t="shared" ref="C122:M123" si="31">C98/C$95</f>
        <v>#DIV/0!</v>
      </c>
      <c r="D122" s="112" t="e">
        <f t="shared" si="31"/>
        <v>#DIV/0!</v>
      </c>
      <c r="E122" s="112" t="e">
        <f t="shared" si="31"/>
        <v>#DIV/0!</v>
      </c>
      <c r="F122" s="112" t="e">
        <f t="shared" si="31"/>
        <v>#DIV/0!</v>
      </c>
      <c r="G122" s="112" t="e">
        <f t="shared" si="31"/>
        <v>#DIV/0!</v>
      </c>
      <c r="H122" s="112" t="e">
        <f t="shared" si="31"/>
        <v>#DIV/0!</v>
      </c>
      <c r="I122" s="112" t="e">
        <f t="shared" si="31"/>
        <v>#DIV/0!</v>
      </c>
      <c r="J122" s="112" t="e">
        <f t="shared" si="31"/>
        <v>#DIV/0!</v>
      </c>
      <c r="K122" s="112" t="e">
        <f t="shared" si="31"/>
        <v>#DIV/0!</v>
      </c>
      <c r="L122" s="112" t="e">
        <f t="shared" si="31"/>
        <v>#DIV/0!</v>
      </c>
      <c r="M122" s="150" t="e">
        <f t="shared" si="31"/>
        <v>#DIV/0!</v>
      </c>
    </row>
    <row r="123" spans="2:13" x14ac:dyDescent="0.25">
      <c r="B123" s="87" t="s">
        <v>56</v>
      </c>
      <c r="C123" s="113" t="e">
        <f t="shared" si="31"/>
        <v>#DIV/0!</v>
      </c>
      <c r="D123" s="113" t="e">
        <f t="shared" si="31"/>
        <v>#DIV/0!</v>
      </c>
      <c r="E123" s="113" t="e">
        <f t="shared" si="31"/>
        <v>#DIV/0!</v>
      </c>
      <c r="F123" s="113" t="e">
        <f t="shared" si="31"/>
        <v>#DIV/0!</v>
      </c>
      <c r="G123" s="113" t="e">
        <f t="shared" si="31"/>
        <v>#DIV/0!</v>
      </c>
      <c r="H123" s="113" t="e">
        <f t="shared" si="31"/>
        <v>#DIV/0!</v>
      </c>
      <c r="I123" s="113" t="e">
        <f t="shared" si="31"/>
        <v>#DIV/0!</v>
      </c>
      <c r="J123" s="113" t="e">
        <f t="shared" si="31"/>
        <v>#DIV/0!</v>
      </c>
      <c r="K123" s="113" t="e">
        <f t="shared" si="31"/>
        <v>#DIV/0!</v>
      </c>
      <c r="L123" s="113" t="e">
        <f t="shared" si="31"/>
        <v>#DIV/0!</v>
      </c>
      <c r="M123" s="151" t="e">
        <f t="shared" si="31"/>
        <v>#DIV/0!</v>
      </c>
    </row>
    <row r="124" spans="2:13" ht="16.899999999999999" customHeight="1" thickBot="1" x14ac:dyDescent="0.3">
      <c r="B124" s="89" t="s">
        <v>57</v>
      </c>
      <c r="C124" s="114" t="e">
        <f>SUM(C122:C123)</f>
        <v>#DIV/0!</v>
      </c>
      <c r="D124" s="114" t="e">
        <f t="shared" ref="D124:M124" si="32">SUM(D122:D123)</f>
        <v>#DIV/0!</v>
      </c>
      <c r="E124" s="114" t="e">
        <f t="shared" si="32"/>
        <v>#DIV/0!</v>
      </c>
      <c r="F124" s="114" t="e">
        <f t="shared" si="32"/>
        <v>#DIV/0!</v>
      </c>
      <c r="G124" s="114" t="e">
        <f t="shared" si="32"/>
        <v>#DIV/0!</v>
      </c>
      <c r="H124" s="114" t="e">
        <f t="shared" si="32"/>
        <v>#DIV/0!</v>
      </c>
      <c r="I124" s="114" t="e">
        <f t="shared" si="32"/>
        <v>#DIV/0!</v>
      </c>
      <c r="J124" s="114" t="e">
        <f t="shared" si="32"/>
        <v>#DIV/0!</v>
      </c>
      <c r="K124" s="114" t="e">
        <f t="shared" si="32"/>
        <v>#DIV/0!</v>
      </c>
      <c r="L124" s="114" t="e">
        <f t="shared" si="32"/>
        <v>#DIV/0!</v>
      </c>
      <c r="M124" s="154" t="e">
        <f t="shared" si="32"/>
        <v>#DIV/0!</v>
      </c>
    </row>
    <row r="125" spans="2:13" ht="16.899999999999999" customHeight="1" x14ac:dyDescent="0.25">
      <c r="B125" s="3" t="s">
        <v>148</v>
      </c>
      <c r="C125" s="184">
        <v>2500</v>
      </c>
      <c r="D125" s="184">
        <v>2500</v>
      </c>
      <c r="E125" s="184">
        <v>2500</v>
      </c>
      <c r="F125" s="184">
        <v>50000</v>
      </c>
      <c r="G125" s="184">
        <v>2500</v>
      </c>
      <c r="H125" s="184">
        <v>2500</v>
      </c>
      <c r="I125" s="184">
        <v>2500</v>
      </c>
      <c r="J125" s="184">
        <v>50000</v>
      </c>
      <c r="K125" s="184">
        <v>2500</v>
      </c>
      <c r="L125" s="184">
        <v>50000</v>
      </c>
      <c r="M125" s="183"/>
    </row>
    <row r="126" spans="2:13" ht="16.899999999999999" customHeight="1" x14ac:dyDescent="0.25">
      <c r="B126" s="3" t="s">
        <v>150</v>
      </c>
      <c r="C126" s="184">
        <f>0.15*C95</f>
        <v>0</v>
      </c>
      <c r="D126" s="184">
        <f t="shared" ref="D126:K126" si="33">0.15*D95</f>
        <v>0</v>
      </c>
      <c r="E126" s="184">
        <f t="shared" si="33"/>
        <v>0</v>
      </c>
      <c r="F126" s="184">
        <f t="shared" si="33"/>
        <v>0</v>
      </c>
      <c r="G126" s="184">
        <f t="shared" si="33"/>
        <v>0</v>
      </c>
      <c r="H126" s="184">
        <f t="shared" si="33"/>
        <v>0</v>
      </c>
      <c r="I126" s="184">
        <f t="shared" si="33"/>
        <v>0</v>
      </c>
      <c r="J126" s="184">
        <f>0.1*J95</f>
        <v>0</v>
      </c>
      <c r="K126" s="184">
        <f t="shared" si="33"/>
        <v>0</v>
      </c>
      <c r="L126" s="184">
        <f>0.1*L95</f>
        <v>0</v>
      </c>
      <c r="M126" s="183"/>
    </row>
    <row r="127" spans="2:13" ht="16.899999999999999" customHeight="1" x14ac:dyDescent="0.25">
      <c r="B127" s="3" t="s">
        <v>149</v>
      </c>
      <c r="C127" s="184">
        <f>IF(C125&gt;C126,C100-C125,C100-C126)</f>
        <v>-2500</v>
      </c>
      <c r="D127" s="184">
        <f t="shared" ref="D127:L127" si="34">IF(D125&gt;D126,D100-D125,D100-D126)</f>
        <v>-2500</v>
      </c>
      <c r="E127" s="184">
        <f t="shared" si="34"/>
        <v>-2500</v>
      </c>
      <c r="F127" s="184">
        <f t="shared" si="34"/>
        <v>-50000</v>
      </c>
      <c r="G127" s="184">
        <f t="shared" si="34"/>
        <v>-2500</v>
      </c>
      <c r="H127" s="184">
        <f t="shared" si="34"/>
        <v>-2500</v>
      </c>
      <c r="I127" s="184">
        <f t="shared" si="34"/>
        <v>-2500</v>
      </c>
      <c r="J127" s="184">
        <f t="shared" si="34"/>
        <v>-50000</v>
      </c>
      <c r="K127" s="184">
        <f t="shared" si="34"/>
        <v>-2500</v>
      </c>
      <c r="L127" s="184">
        <f t="shared" si="34"/>
        <v>-50000</v>
      </c>
      <c r="M127" s="183"/>
    </row>
    <row r="128" spans="2:13" ht="16.899999999999999" customHeight="1" x14ac:dyDescent="0.25"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3"/>
    </row>
    <row r="129" spans="2:13" ht="16.899999999999999" customHeight="1" x14ac:dyDescent="0.25">
      <c r="B129" s="181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3"/>
    </row>
    <row r="131" spans="2:13" x14ac:dyDescent="0.25">
      <c r="B131" s="160" t="s">
        <v>110</v>
      </c>
    </row>
    <row r="132" spans="2:13" x14ac:dyDescent="0.25">
      <c r="B132" s="157" t="s">
        <v>87</v>
      </c>
    </row>
    <row r="133" spans="2:13" x14ac:dyDescent="0.25">
      <c r="B133" s="158" t="s">
        <v>88</v>
      </c>
    </row>
    <row r="134" spans="2:13" x14ac:dyDescent="0.25">
      <c r="B134" s="158" t="s">
        <v>89</v>
      </c>
    </row>
    <row r="135" spans="2:13" x14ac:dyDescent="0.25">
      <c r="B135" s="158" t="s">
        <v>111</v>
      </c>
    </row>
    <row r="136" spans="2:13" x14ac:dyDescent="0.25">
      <c r="B136" s="158" t="s">
        <v>112</v>
      </c>
    </row>
    <row r="137" spans="2:13" x14ac:dyDescent="0.25">
      <c r="B137" s="159" t="s">
        <v>90</v>
      </c>
    </row>
    <row r="138" spans="2:13" x14ac:dyDescent="0.25">
      <c r="B138" s="160" t="s">
        <v>91</v>
      </c>
    </row>
    <row r="139" spans="2:13" x14ac:dyDescent="0.25">
      <c r="B139" s="157" t="s">
        <v>92</v>
      </c>
      <c r="C139" s="290">
        <f>-YTD!C34/(YTD!C21+YTD!C25)</f>
        <v>0.39682408779875905</v>
      </c>
      <c r="D139" s="290">
        <f>-YTD!D34/(YTD!D21+YTD!D25)</f>
        <v>0.6506178283915709</v>
      </c>
      <c r="E139" s="290">
        <f>-YTD!E34/(YTD!E21+YTD!E25)</f>
        <v>0.86825732287819235</v>
      </c>
      <c r="F139" s="290">
        <f>-YTD!F34/(YTD!F21+YTD!F25)</f>
        <v>0.47505602708373068</v>
      </c>
      <c r="G139" s="290">
        <f>-YTD!G34/(YTD!G21+YTD!G25)</f>
        <v>1.3573636506522764</v>
      </c>
      <c r="H139" s="290">
        <f>-YTD!H34/(YTD!H21+YTD!H25)</f>
        <v>0.48927420413282197</v>
      </c>
      <c r="I139" s="290" t="e">
        <f>-YTD!I34/(YTD!I21+YTD!I25)</f>
        <v>#DIV/0!</v>
      </c>
      <c r="J139" s="290">
        <f>-YTD!J34/(YTD!J21+YTD!J25)</f>
        <v>0.63353654263891812</v>
      </c>
      <c r="K139" s="290">
        <f>-YTD!K34/(YTD!K21+YTD!K25)</f>
        <v>0.73662206715288081</v>
      </c>
      <c r="L139" s="290">
        <f>-YTD!L34/(YTD!L21+YTD!L25)</f>
        <v>0.74618432743844765</v>
      </c>
      <c r="M139" s="290">
        <f>-YTD!M34/(YTD!M21+YTD!M25)</f>
        <v>0.58355833757852715</v>
      </c>
    </row>
    <row r="140" spans="2:13" x14ac:dyDescent="0.25">
      <c r="B140" s="161" t="s">
        <v>93</v>
      </c>
      <c r="C140" s="3" t="e">
        <f>C25/C29</f>
        <v>#DIV/0!</v>
      </c>
      <c r="D140" s="290" t="e">
        <f t="shared" ref="D140:M140" si="35">D25/(D21+D25)</f>
        <v>#DIV/0!</v>
      </c>
      <c r="E140" s="290" t="e">
        <f t="shared" si="35"/>
        <v>#DIV/0!</v>
      </c>
      <c r="F140" s="290" t="e">
        <f t="shared" si="35"/>
        <v>#DIV/0!</v>
      </c>
      <c r="G140" s="290" t="e">
        <f t="shared" si="35"/>
        <v>#DIV/0!</v>
      </c>
      <c r="H140" s="290" t="e">
        <f t="shared" si="35"/>
        <v>#DIV/0!</v>
      </c>
      <c r="I140" s="290" t="e">
        <f t="shared" si="35"/>
        <v>#DIV/0!</v>
      </c>
      <c r="J140" s="290" t="e">
        <f t="shared" si="35"/>
        <v>#DIV/0!</v>
      </c>
      <c r="K140" s="290" t="e">
        <f t="shared" si="35"/>
        <v>#DIV/0!</v>
      </c>
      <c r="L140" s="290" t="e">
        <f t="shared" si="35"/>
        <v>#DIV/0!</v>
      </c>
      <c r="M140" s="290" t="e">
        <f t="shared" si="35"/>
        <v>#DIV/0!</v>
      </c>
    </row>
    <row r="141" spans="2:13" x14ac:dyDescent="0.25">
      <c r="B141" s="161" t="s">
        <v>113</v>
      </c>
    </row>
    <row r="142" spans="2:13" x14ac:dyDescent="0.25">
      <c r="B142" s="161" t="s">
        <v>18</v>
      </c>
    </row>
    <row r="143" spans="2:13" x14ac:dyDescent="0.25">
      <c r="B143" s="159" t="s">
        <v>19</v>
      </c>
    </row>
    <row r="144" spans="2:13" x14ac:dyDescent="0.25">
      <c r="B144" s="160" t="s">
        <v>94</v>
      </c>
    </row>
    <row r="145" spans="2:13" x14ac:dyDescent="0.25">
      <c r="B145" s="157" t="s">
        <v>95</v>
      </c>
      <c r="C145" s="3" t="e">
        <f>(-1*C22)/#REF!</f>
        <v>#REF!</v>
      </c>
      <c r="D145" s="290" t="e">
        <f t="shared" ref="D145:M145" si="36">-D22/D51</f>
        <v>#DIV/0!</v>
      </c>
      <c r="E145" s="290" t="e">
        <f t="shared" si="36"/>
        <v>#DIV/0!</v>
      </c>
      <c r="F145" s="290" t="e">
        <f t="shared" si="36"/>
        <v>#DIV/0!</v>
      </c>
      <c r="G145" s="290" t="e">
        <f t="shared" si="36"/>
        <v>#DIV/0!</v>
      </c>
      <c r="H145" s="290" t="e">
        <f t="shared" si="36"/>
        <v>#DIV/0!</v>
      </c>
      <c r="I145" s="290" t="e">
        <f t="shared" si="36"/>
        <v>#DIV/0!</v>
      </c>
      <c r="J145" s="290" t="e">
        <f t="shared" si="36"/>
        <v>#DIV/0!</v>
      </c>
      <c r="K145" s="290" t="e">
        <f t="shared" si="36"/>
        <v>#DIV/0!</v>
      </c>
      <c r="L145" s="290" t="e">
        <f t="shared" si="36"/>
        <v>#DIV/0!</v>
      </c>
      <c r="M145" s="290" t="e">
        <f t="shared" si="36"/>
        <v>#DIV/0!</v>
      </c>
    </row>
    <row r="146" spans="2:13" x14ac:dyDescent="0.25">
      <c r="B146" s="159" t="s">
        <v>96</v>
      </c>
    </row>
    <row r="147" spans="2:13" x14ac:dyDescent="0.25">
      <c r="B147" s="162" t="s">
        <v>97</v>
      </c>
    </row>
    <row r="148" spans="2:13" x14ac:dyDescent="0.25">
      <c r="B148" s="157" t="s">
        <v>98</v>
      </c>
    </row>
    <row r="149" spans="2:13" x14ac:dyDescent="0.25">
      <c r="B149" s="158" t="s">
        <v>114</v>
      </c>
    </row>
    <row r="150" spans="2:13" x14ac:dyDescent="0.25">
      <c r="B150" s="158" t="s">
        <v>99</v>
      </c>
    </row>
    <row r="151" spans="2:13" x14ac:dyDescent="0.25">
      <c r="B151" s="158" t="s">
        <v>100</v>
      </c>
    </row>
    <row r="152" spans="2:13" x14ac:dyDescent="0.25">
      <c r="B152" s="158" t="s">
        <v>101</v>
      </c>
    </row>
    <row r="153" spans="2:13" x14ac:dyDescent="0.25">
      <c r="B153" s="158" t="s">
        <v>102</v>
      </c>
    </row>
    <row r="154" spans="2:13" x14ac:dyDescent="0.25">
      <c r="B154" s="158" t="s">
        <v>103</v>
      </c>
    </row>
    <row r="155" spans="2:13" x14ac:dyDescent="0.25">
      <c r="B155" s="158" t="s">
        <v>104</v>
      </c>
    </row>
    <row r="156" spans="2:13" x14ac:dyDescent="0.25">
      <c r="B156" s="158" t="s">
        <v>105</v>
      </c>
    </row>
    <row r="157" spans="2:13" x14ac:dyDescent="0.25">
      <c r="B157" s="159" t="s">
        <v>106</v>
      </c>
    </row>
    <row r="158" spans="2:13" x14ac:dyDescent="0.25">
      <c r="B158" s="160" t="s">
        <v>107</v>
      </c>
    </row>
    <row r="159" spans="2:13" x14ac:dyDescent="0.25">
      <c r="B159" s="157" t="s">
        <v>108</v>
      </c>
    </row>
    <row r="160" spans="2:13" x14ac:dyDescent="0.25">
      <c r="B160" s="163" t="s">
        <v>109</v>
      </c>
    </row>
    <row r="161" spans="2:2" x14ac:dyDescent="0.25">
      <c r="B161" s="164" t="s">
        <v>115</v>
      </c>
    </row>
  </sheetData>
  <conditionalFormatting sqref="C120:M120">
    <cfRule type="cellIs" dxfId="16" priority="3" stopIfTrue="1" operator="lessThan">
      <formula>#REF!</formula>
    </cfRule>
    <cfRule type="cellIs" dxfId="15" priority="4" operator="lessThan">
      <formula>#REF!</formula>
    </cfRule>
  </conditionalFormatting>
  <conditionalFormatting sqref="C124:M129">
    <cfRule type="cellIs" dxfId="14" priority="1" stopIfTrue="1" operator="lessThan">
      <formula>#REF!</formula>
    </cfRule>
    <cfRule type="cellIs" dxfId="13" priority="2" operator="lessThan">
      <formula>#REF!</formula>
    </cfRule>
  </conditionalFormatting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Drop Down 1">
              <controlPr defaultSize="0" autoLine="0" autoPict="0">
                <anchor moveWithCells="1">
                  <from>
                    <xdr:col>12</xdr:col>
                    <xdr:colOff>0</xdr:colOff>
                    <xdr:row>7</xdr:row>
                    <xdr:rowOff>9525</xdr:rowOff>
                  </from>
                  <to>
                    <xdr:col>13</xdr:col>
                    <xdr:colOff>38100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4" r:id="rId5" name="Drop Down 2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61"/>
  <sheetViews>
    <sheetView topLeftCell="A97" zoomScale="85" zoomScaleNormal="85" workbookViewId="0">
      <selection activeCell="N47" sqref="N47:N124"/>
    </sheetView>
  </sheetViews>
  <sheetFormatPr defaultColWidth="9.140625" defaultRowHeight="12.75" outlineLevelRow="1" outlineLevelCol="1" x14ac:dyDescent="0.25"/>
  <cols>
    <col min="1" max="1" width="2.42578125" style="1" customWidth="1"/>
    <col min="2" max="2" width="26" style="3" customWidth="1"/>
    <col min="3" max="3" width="11.5703125" style="3" customWidth="1" outlineLevel="1"/>
    <col min="4" max="4" width="13.42578125" style="3" customWidth="1" outlineLevel="1"/>
    <col min="5" max="5" width="10.7109375" style="3" customWidth="1" outlineLevel="1"/>
    <col min="6" max="6" width="12.140625" style="3" bestFit="1" customWidth="1" outlineLevel="1"/>
    <col min="7" max="7" width="13.85546875" style="3" customWidth="1" outlineLevel="1"/>
    <col min="8" max="8" width="13.7109375" style="3" customWidth="1" outlineLevel="1"/>
    <col min="9" max="10" width="11.28515625" style="3" customWidth="1" outlineLevel="1"/>
    <col min="11" max="11" width="14" style="3" customWidth="1" outlineLevel="1"/>
    <col min="12" max="12" width="11.5703125" style="3" customWidth="1" outlineLevel="1"/>
    <col min="13" max="13" width="14" style="115" bestFit="1" customWidth="1"/>
    <col min="14" max="14" width="10.42578125" style="3" bestFit="1" customWidth="1"/>
    <col min="15" max="16384" width="9.140625" style="3"/>
  </cols>
  <sheetData>
    <row r="1" spans="1:15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2"/>
    </row>
    <row r="3" spans="1:15" ht="13.9" hidden="1" customHeight="1" outlineLevel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6">
        <v>1</v>
      </c>
    </row>
    <row r="4" spans="1:15" ht="13.9" hidden="1" customHeight="1" outlineLevel="1" x14ac:dyDescent="0.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6">
        <v>2</v>
      </c>
    </row>
    <row r="5" spans="1:15" ht="13.9" hidden="1" customHeight="1" outlineLevel="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6">
        <v>3</v>
      </c>
    </row>
    <row r="6" spans="1:15" ht="13.9" hidden="1" customHeight="1" outlineLevel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5" collapsed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5" s="11" customFormat="1" ht="12.75" customHeight="1" x14ac:dyDescent="0.25">
      <c r="A8" s="1"/>
      <c r="B8" s="7" t="s">
        <v>3</v>
      </c>
      <c r="C8" s="8"/>
      <c r="D8" s="8"/>
      <c r="E8" s="8"/>
      <c r="F8" s="8"/>
      <c r="G8" s="9"/>
      <c r="H8" s="9"/>
      <c r="I8" s="9"/>
      <c r="J8" s="9"/>
      <c r="K8" s="9"/>
      <c r="L8" s="8"/>
      <c r="M8" s="116"/>
    </row>
    <row r="9" spans="1:15" s="11" customFormat="1" ht="13.5" thickBot="1" x14ac:dyDescent="0.3">
      <c r="A9" s="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17"/>
    </row>
    <row r="10" spans="1:15" s="11" customFormat="1" ht="14.45" customHeight="1" thickTop="1" x14ac:dyDescent="0.25">
      <c r="A10" s="1"/>
      <c r="B10" s="14"/>
      <c r="C10" s="15" t="s">
        <v>65</v>
      </c>
      <c r="D10" s="15" t="s">
        <v>66</v>
      </c>
      <c r="E10" s="15" t="s">
        <v>67</v>
      </c>
      <c r="F10" s="15" t="s">
        <v>83</v>
      </c>
      <c r="G10" s="15" t="s">
        <v>82</v>
      </c>
      <c r="H10" s="15" t="s">
        <v>68</v>
      </c>
      <c r="I10" s="15" t="s">
        <v>69</v>
      </c>
      <c r="J10" s="15" t="s">
        <v>161</v>
      </c>
      <c r="K10" s="15" t="s">
        <v>70</v>
      </c>
      <c r="L10" s="15" t="s">
        <v>71</v>
      </c>
      <c r="M10" s="118" t="s">
        <v>4</v>
      </c>
    </row>
    <row r="11" spans="1:15" s="11" customFormat="1" x14ac:dyDescent="0.25">
      <c r="A11" s="1"/>
      <c r="B11" s="1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19"/>
    </row>
    <row r="12" spans="1:15" ht="16.149999999999999" customHeight="1" x14ac:dyDescent="0.25">
      <c r="B12" s="17"/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5</v>
      </c>
      <c r="K12" s="18" t="s">
        <v>5</v>
      </c>
      <c r="L12" s="18" t="s">
        <v>5</v>
      </c>
      <c r="M12" s="120" t="s">
        <v>5</v>
      </c>
    </row>
    <row r="13" spans="1:15" x14ac:dyDescent="0.25">
      <c r="B13" s="17" t="s">
        <v>6</v>
      </c>
      <c r="C13" s="19">
        <f t="shared" ref="C13:M13" si="0">SUM(C14:C15)</f>
        <v>628602</v>
      </c>
      <c r="D13" s="19">
        <f t="shared" si="0"/>
        <v>144948</v>
      </c>
      <c r="E13" s="19">
        <f t="shared" si="0"/>
        <v>75038</v>
      </c>
      <c r="F13" s="19">
        <f t="shared" si="0"/>
        <v>122388</v>
      </c>
      <c r="G13" s="19">
        <f t="shared" si="0"/>
        <v>36006</v>
      </c>
      <c r="H13" s="19">
        <f t="shared" si="0"/>
        <v>226061</v>
      </c>
      <c r="I13" s="19">
        <f t="shared" si="0"/>
        <v>0</v>
      </c>
      <c r="J13" s="19">
        <f t="shared" si="0"/>
        <v>422007</v>
      </c>
      <c r="K13" s="19">
        <f t="shared" si="0"/>
        <v>126241</v>
      </c>
      <c r="L13" s="19">
        <f t="shared" si="0"/>
        <v>400250</v>
      </c>
      <c r="M13" s="121">
        <f t="shared" si="0"/>
        <v>2181541</v>
      </c>
      <c r="N13" s="19">
        <f>M13-('Q1'!M13+'Q2'!M13)</f>
        <v>0</v>
      </c>
      <c r="O13" s="19"/>
    </row>
    <row r="14" spans="1:15" outlineLevel="1" x14ac:dyDescent="0.25">
      <c r="B14" s="23" t="s">
        <v>166</v>
      </c>
      <c r="C14" s="24">
        <f>'Q1'!C14+'Q2'!C14+'Q3'!C14+'Q4'!C14</f>
        <v>627211</v>
      </c>
      <c r="D14" s="24">
        <f>'Q1'!D14+'Q2'!D14+'Q3'!D14+'Q4'!D14</f>
        <v>122433</v>
      </c>
      <c r="E14" s="24">
        <f>'Q1'!E14+'Q2'!E14+'Q3'!E14+'Q4'!E14</f>
        <v>73226</v>
      </c>
      <c r="F14" s="24">
        <f>'Q1'!F14+'Q2'!F14+'Q3'!F14+'Q4'!F14</f>
        <v>115117</v>
      </c>
      <c r="G14" s="24">
        <f>'Q1'!G14+'Q2'!G14+'Q3'!G14+'Q4'!G14</f>
        <v>34743</v>
      </c>
      <c r="H14" s="24">
        <f>'Q1'!H14+'Q2'!H14+'Q3'!H14+'Q4'!H14</f>
        <v>212751</v>
      </c>
      <c r="I14" s="24">
        <f>'Q1'!I14+'Q2'!I14+'Q3'!I14+'Q4'!I14</f>
        <v>0</v>
      </c>
      <c r="J14" s="24">
        <f>'Q1'!J14+'Q2'!J14+'Q3'!J14+'Q4'!J14</f>
        <v>393860</v>
      </c>
      <c r="K14" s="24">
        <f>'Q1'!K14+'Q2'!K14+'Q3'!K14+'Q4'!K14</f>
        <v>126241</v>
      </c>
      <c r="L14" s="24">
        <f>'Q1'!L14+'Q2'!L14+'Q3'!L14+'Q4'!L14</f>
        <v>341757</v>
      </c>
      <c r="M14" s="122">
        <f>SUM(C14:L14)</f>
        <v>2047339</v>
      </c>
      <c r="N14" s="19">
        <f>M14-('Q1'!M14+'Q2'!M14)</f>
        <v>0</v>
      </c>
      <c r="O14" s="19"/>
    </row>
    <row r="15" spans="1:15" outlineLevel="1" x14ac:dyDescent="0.25">
      <c r="B15" s="23" t="s">
        <v>8</v>
      </c>
      <c r="C15" s="24">
        <f>'Q1'!C15+'Q2'!C15+'Q3'!C15+'Q4'!C15</f>
        <v>1391</v>
      </c>
      <c r="D15" s="24">
        <f>'Q1'!D15+'Q2'!D15+'Q3'!D15+'Q4'!D15</f>
        <v>22515</v>
      </c>
      <c r="E15" s="24">
        <f>'Q1'!E15+'Q2'!E15+'Q3'!E15+'Q4'!E15</f>
        <v>1812</v>
      </c>
      <c r="F15" s="24">
        <f>'Q1'!F15+'Q2'!F15+'Q3'!F15+'Q4'!F15</f>
        <v>7271</v>
      </c>
      <c r="G15" s="24">
        <f>'Q1'!G15+'Q2'!G15+'Q3'!G15+'Q4'!G15</f>
        <v>1263</v>
      </c>
      <c r="H15" s="24">
        <f>'Q1'!H15+'Q2'!H15+'Q3'!H15+'Q4'!H15</f>
        <v>13310</v>
      </c>
      <c r="I15" s="24">
        <f>'Q1'!I15+'Q2'!I15+'Q3'!I15+'Q4'!I15</f>
        <v>0</v>
      </c>
      <c r="J15" s="24">
        <f>'Q1'!J15+'Q2'!J15+'Q3'!J15+'Q4'!J15</f>
        <v>28147</v>
      </c>
      <c r="K15" s="24">
        <f>'Q1'!K15+'Q2'!K15+'Q3'!K15+'Q4'!K15</f>
        <v>0</v>
      </c>
      <c r="L15" s="24">
        <f>'Q1'!L15+'Q2'!L15+'Q3'!L15+'Q4'!L15</f>
        <v>58493</v>
      </c>
      <c r="M15" s="122">
        <f>SUM(C15:L15)</f>
        <v>134202</v>
      </c>
      <c r="N15" s="19">
        <f>M15-('Q1'!M15+'Q2'!M15)</f>
        <v>0</v>
      </c>
      <c r="O15" s="19"/>
    </row>
    <row r="16" spans="1:15" outlineLevel="1" x14ac:dyDescent="0.25">
      <c r="B16" s="17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21"/>
      <c r="N16" s="19">
        <f>M16-('Q1'!M16+'Q2'!M16)</f>
        <v>0</v>
      </c>
      <c r="O16" s="19"/>
    </row>
    <row r="17" spans="1:15" x14ac:dyDescent="0.25">
      <c r="B17" s="17" t="s">
        <v>9</v>
      </c>
      <c r="C17" s="27">
        <f t="shared" ref="C17:L17" si="1">SUM(C18:C20)</f>
        <v>-225466</v>
      </c>
      <c r="D17" s="27">
        <f t="shared" si="1"/>
        <v>-51645</v>
      </c>
      <c r="E17" s="27">
        <f t="shared" si="1"/>
        <v>-23049</v>
      </c>
      <c r="F17" s="27">
        <f t="shared" si="1"/>
        <v>-82500</v>
      </c>
      <c r="G17" s="27">
        <f t="shared" si="1"/>
        <v>-21906</v>
      </c>
      <c r="H17" s="27">
        <f t="shared" si="1"/>
        <v>-106403</v>
      </c>
      <c r="I17" s="27">
        <f t="shared" si="1"/>
        <v>0</v>
      </c>
      <c r="J17" s="27">
        <f t="shared" si="1"/>
        <v>-76253</v>
      </c>
      <c r="K17" s="27">
        <f t="shared" si="1"/>
        <v>-32492</v>
      </c>
      <c r="L17" s="27">
        <f t="shared" si="1"/>
        <v>-168855</v>
      </c>
      <c r="M17" s="124">
        <f>SUM(M18:M20)</f>
        <v>-788569</v>
      </c>
      <c r="N17" s="19">
        <f>M17-('Q1'!M17+'Q2'!M17)</f>
        <v>0</v>
      </c>
      <c r="O17" s="19"/>
    </row>
    <row r="18" spans="1:15" ht="15" outlineLevel="1" x14ac:dyDescent="0.25">
      <c r="A18" s="28"/>
      <c r="B18" s="23" t="s">
        <v>167</v>
      </c>
      <c r="C18" s="24">
        <f>'Q1'!C18+'Q2'!C18+'Q3'!C18+'Q4'!C18</f>
        <v>-63854</v>
      </c>
      <c r="D18" s="24">
        <f>'Q1'!D18+'Q2'!D18+'Q3'!D18+'Q4'!D18</f>
        <v>-15770</v>
      </c>
      <c r="E18" s="24">
        <f>'Q1'!E18+'Q2'!E18+'Q3'!E18+'Q4'!E18</f>
        <v>-19012</v>
      </c>
      <c r="F18" s="24">
        <f>'Q1'!F18+'Q2'!F18+'Q3'!F18+'Q4'!F18</f>
        <v>-80840</v>
      </c>
      <c r="G18" s="24">
        <f>'Q1'!G18+'Q2'!G18+'Q3'!G18+'Q4'!G18</f>
        <v>-18370</v>
      </c>
      <c r="H18" s="24">
        <f>'Q1'!H18+'Q2'!H18+'Q3'!H18+'Q4'!H18</f>
        <v>-91469</v>
      </c>
      <c r="I18" s="24">
        <f>'Q1'!I18+'Q2'!I18+'Q3'!I18+'Q4'!I18</f>
        <v>0</v>
      </c>
      <c r="J18" s="24">
        <f>'Q1'!J18+'Q2'!J18+'Q3'!J18+'Q4'!J18</f>
        <v>-76253</v>
      </c>
      <c r="K18" s="24">
        <f>'Q1'!K18+'Q2'!K18+'Q3'!K18+'Q4'!K18</f>
        <v>-5836</v>
      </c>
      <c r="L18" s="24">
        <f>'Q1'!L18+'Q2'!L18+'Q3'!L18+'Q4'!L18</f>
        <v>-108464</v>
      </c>
      <c r="M18" s="122">
        <f t="shared" ref="M18:M23" si="2">SUM(C18:L18)</f>
        <v>-479868</v>
      </c>
      <c r="N18" s="19">
        <f>M18-('Q1'!M18+'Q2'!M18)</f>
        <v>0</v>
      </c>
      <c r="O18" s="19"/>
    </row>
    <row r="19" spans="1:15" ht="15" outlineLevel="1" x14ac:dyDescent="0.25">
      <c r="A19" s="28"/>
      <c r="B19" s="23" t="s">
        <v>186</v>
      </c>
      <c r="C19" s="24">
        <f>'Q1'!C19+'Q2'!C19+'Q3'!C19+'Q4'!C19</f>
        <v>-161612</v>
      </c>
      <c r="D19" s="24">
        <f>'Q1'!D19+'Q2'!D19+'Q3'!D19+'Q4'!D19</f>
        <v>-35257</v>
      </c>
      <c r="E19" s="24">
        <f>'Q1'!E19+'Q2'!E19+'Q3'!E19+'Q4'!E19</f>
        <v>-4037</v>
      </c>
      <c r="F19" s="24">
        <f>'Q1'!F19+'Q2'!F19+'Q3'!F19+'Q4'!F19</f>
        <v>0</v>
      </c>
      <c r="G19" s="24">
        <f>'Q1'!G19+'Q2'!G19+'Q3'!G19+'Q4'!G19</f>
        <v>-2846</v>
      </c>
      <c r="H19" s="24">
        <f>'Q1'!H19+'Q2'!H19+'Q3'!H19+'Q4'!H19</f>
        <v>-14934</v>
      </c>
      <c r="I19" s="24">
        <f>'Q1'!I19+'Q2'!I19+'Q3'!I19+'Q4'!I19</f>
        <v>0</v>
      </c>
      <c r="J19" s="24">
        <f>'Q1'!J19+'Q2'!J19+'Q3'!J19+'Q4'!J19</f>
        <v>0</v>
      </c>
      <c r="K19" s="24">
        <f>'Q1'!K19+'Q2'!K19+'Q3'!K19+'Q4'!K19</f>
        <v>-20775</v>
      </c>
      <c r="L19" s="24">
        <f>'Q1'!L19+'Q2'!L19+'Q3'!L19+'Q4'!L19</f>
        <v>-60391</v>
      </c>
      <c r="M19" s="122">
        <f t="shared" si="2"/>
        <v>-299852</v>
      </c>
      <c r="N19" s="19">
        <f>M19-('Q1'!M19+'Q2'!M19)</f>
        <v>0</v>
      </c>
      <c r="O19" s="19"/>
    </row>
    <row r="20" spans="1:15" ht="15" outlineLevel="1" x14ac:dyDescent="0.25">
      <c r="A20" s="28"/>
      <c r="B20" s="23" t="s">
        <v>168</v>
      </c>
      <c r="C20" s="24">
        <f>'Q1'!C20+'Q2'!C20+'Q3'!C20+'Q4'!C20</f>
        <v>0</v>
      </c>
      <c r="D20" s="24">
        <f>'Q1'!D20+'Q2'!D20+'Q3'!D20+'Q4'!D20</f>
        <v>-618</v>
      </c>
      <c r="E20" s="24">
        <f>'Q1'!E20+'Q2'!E20+'Q3'!E20+'Q4'!E20</f>
        <v>0</v>
      </c>
      <c r="F20" s="24">
        <f>'Q1'!F20+'Q2'!F20+'Q3'!F20+'Q4'!F20</f>
        <v>-1660</v>
      </c>
      <c r="G20" s="24">
        <f>'Q1'!G20+'Q2'!G20+'Q3'!G20+'Q4'!G20</f>
        <v>-690</v>
      </c>
      <c r="H20" s="24">
        <f>'Q1'!H20+'Q2'!H20+'Q3'!H20+'Q4'!H20</f>
        <v>0</v>
      </c>
      <c r="I20" s="24">
        <f>'Q1'!I20+'Q2'!I20+'Q3'!I20+'Q4'!I20</f>
        <v>0</v>
      </c>
      <c r="J20" s="24">
        <f>'Q1'!J20+'Q2'!J20+'Q3'!J20+'Q4'!J20</f>
        <v>0</v>
      </c>
      <c r="K20" s="24">
        <f>'Q1'!K20+'Q2'!K20+'Q3'!K20+'Q4'!K20</f>
        <v>-5881</v>
      </c>
      <c r="L20" s="24">
        <f>'Q1'!L20+'Q2'!L20+'Q3'!L20+'Q4'!L20</f>
        <v>0</v>
      </c>
      <c r="M20" s="122">
        <f t="shared" si="2"/>
        <v>-8849</v>
      </c>
      <c r="N20" s="19">
        <f>M20-('Q1'!M20+'Q2'!M20)</f>
        <v>0</v>
      </c>
      <c r="O20" s="19"/>
    </row>
    <row r="21" spans="1:15" s="11" customFormat="1" ht="21" customHeight="1" x14ac:dyDescent="0.25">
      <c r="A21" s="28"/>
      <c r="B21" s="30" t="s">
        <v>12</v>
      </c>
      <c r="C21" s="31">
        <f t="shared" ref="C21:L21" si="3">C13+C17</f>
        <v>403136</v>
      </c>
      <c r="D21" s="31">
        <f t="shared" si="3"/>
        <v>93303</v>
      </c>
      <c r="E21" s="31">
        <f t="shared" si="3"/>
        <v>51989</v>
      </c>
      <c r="F21" s="31">
        <f t="shared" si="3"/>
        <v>39888</v>
      </c>
      <c r="G21" s="31">
        <f t="shared" si="3"/>
        <v>14100</v>
      </c>
      <c r="H21" s="31">
        <f t="shared" si="3"/>
        <v>119658</v>
      </c>
      <c r="I21" s="31">
        <f t="shared" si="3"/>
        <v>0</v>
      </c>
      <c r="J21" s="31">
        <f t="shared" si="3"/>
        <v>345754</v>
      </c>
      <c r="K21" s="31">
        <f t="shared" si="3"/>
        <v>93749</v>
      </c>
      <c r="L21" s="31">
        <f t="shared" si="3"/>
        <v>231395</v>
      </c>
      <c r="M21" s="122">
        <f t="shared" si="2"/>
        <v>1392972</v>
      </c>
      <c r="N21" s="19">
        <f>M21-('Q1'!M21+'Q2'!M21)</f>
        <v>0</v>
      </c>
      <c r="O21" s="19"/>
    </row>
    <row r="22" spans="1:15" ht="15" x14ac:dyDescent="0.25">
      <c r="A22" s="28"/>
      <c r="B22" s="17" t="s">
        <v>169</v>
      </c>
      <c r="C22" s="24">
        <f>'Q1'!C22+'Q2'!C22+'Q3'!C22+'Q4'!C22</f>
        <v>-8364</v>
      </c>
      <c r="D22" s="24">
        <f>'Q1'!D22+'Q2'!D22+'Q3'!D22+'Q4'!D22</f>
        <v>-7433</v>
      </c>
      <c r="E22" s="24">
        <f>'Q1'!E22+'Q2'!E22+'Q3'!E22+'Q4'!E22</f>
        <v>-7749</v>
      </c>
      <c r="F22" s="24">
        <f>'Q1'!F22+'Q2'!F22+'Q3'!F22+'Q4'!F22</f>
        <v>-9962</v>
      </c>
      <c r="G22" s="24">
        <f>'Q1'!G22+'Q2'!G22+'Q3'!G22+'Q4'!G22</f>
        <v>-41259</v>
      </c>
      <c r="H22" s="24">
        <f>'Q1'!H22+'Q2'!H22+'Q3'!H22+'Q4'!H22</f>
        <v>-7141</v>
      </c>
      <c r="I22" s="24">
        <f>'Q1'!I22+'Q2'!I22+'Q3'!I22+'Q4'!I22</f>
        <v>0</v>
      </c>
      <c r="J22" s="24">
        <f>'Q1'!J22+'Q2'!J22+'Q3'!J22+'Q4'!J22</f>
        <v>-13096</v>
      </c>
      <c r="K22" s="24">
        <f>'Q1'!K22+'Q2'!K22+'Q3'!K22+'Q4'!K22</f>
        <v>-4606</v>
      </c>
      <c r="L22" s="24">
        <f>'Q1'!L22+'Q2'!L22+'Q3'!L22+'Q4'!L22</f>
        <v>-1997</v>
      </c>
      <c r="M22" s="122">
        <f t="shared" si="2"/>
        <v>-101607</v>
      </c>
      <c r="N22" s="19">
        <f>M22-('Q1'!M22+'Q2'!M22)</f>
        <v>0</v>
      </c>
      <c r="O22" s="19"/>
    </row>
    <row r="23" spans="1:15" ht="23.25" customHeight="1" x14ac:dyDescent="0.25">
      <c r="A23" s="28"/>
      <c r="B23" s="30" t="s">
        <v>170</v>
      </c>
      <c r="C23" s="21">
        <f t="shared" ref="C23:L23" si="4">C21+C22</f>
        <v>394772</v>
      </c>
      <c r="D23" s="21">
        <f t="shared" si="4"/>
        <v>85870</v>
      </c>
      <c r="E23" s="21">
        <f t="shared" si="4"/>
        <v>44240</v>
      </c>
      <c r="F23" s="21">
        <f t="shared" si="4"/>
        <v>29926</v>
      </c>
      <c r="G23" s="21">
        <f t="shared" si="4"/>
        <v>-27159</v>
      </c>
      <c r="H23" s="21">
        <f t="shared" si="4"/>
        <v>112517</v>
      </c>
      <c r="I23" s="21">
        <f t="shared" si="4"/>
        <v>0</v>
      </c>
      <c r="J23" s="21">
        <f t="shared" si="4"/>
        <v>332658</v>
      </c>
      <c r="K23" s="21">
        <f t="shared" si="4"/>
        <v>89143</v>
      </c>
      <c r="L23" s="21">
        <f t="shared" si="4"/>
        <v>229398</v>
      </c>
      <c r="M23" s="122">
        <f t="shared" si="2"/>
        <v>1291365</v>
      </c>
      <c r="N23" s="19">
        <f>M23-('Q1'!M23+'Q2'!M23)</f>
        <v>0</v>
      </c>
      <c r="O23" s="19"/>
    </row>
    <row r="24" spans="1:15" ht="9.6" customHeight="1" x14ac:dyDescent="0.25">
      <c r="A24" s="28"/>
      <c r="B24" s="33"/>
      <c r="C24" s="19"/>
      <c r="D24" s="21"/>
      <c r="E24" s="19"/>
      <c r="F24" s="19"/>
      <c r="G24" s="19"/>
      <c r="H24" s="19"/>
      <c r="I24" s="21"/>
      <c r="J24" s="21"/>
      <c r="K24" s="21"/>
      <c r="L24" s="21"/>
      <c r="M24" s="122"/>
      <c r="N24" s="19">
        <f>M24-('Q1'!M24+'Q2'!M24)</f>
        <v>0</v>
      </c>
      <c r="O24" s="19"/>
    </row>
    <row r="25" spans="1:15" s="11" customFormat="1" ht="15" x14ac:dyDescent="0.25">
      <c r="A25" s="28"/>
      <c r="B25" s="32" t="s">
        <v>15</v>
      </c>
      <c r="C25" s="27">
        <f t="shared" ref="C25:M25" si="5">SUM(C26:C28)</f>
        <v>57645</v>
      </c>
      <c r="D25" s="27">
        <f t="shared" si="5"/>
        <v>22344</v>
      </c>
      <c r="E25" s="27">
        <f>SUM(E26:E28)</f>
        <v>-1360</v>
      </c>
      <c r="F25" s="27">
        <f t="shared" si="5"/>
        <v>127888</v>
      </c>
      <c r="G25" s="27">
        <f t="shared" si="5"/>
        <v>4987</v>
      </c>
      <c r="H25" s="27">
        <f t="shared" si="5"/>
        <v>86061</v>
      </c>
      <c r="I25" s="27">
        <f t="shared" si="5"/>
        <v>0</v>
      </c>
      <c r="J25" s="27">
        <f t="shared" si="5"/>
        <v>82376</v>
      </c>
      <c r="K25" s="27">
        <f t="shared" si="5"/>
        <v>36372</v>
      </c>
      <c r="L25" s="27">
        <f t="shared" si="5"/>
        <v>47717</v>
      </c>
      <c r="M25" s="124">
        <f t="shared" si="5"/>
        <v>464030</v>
      </c>
      <c r="N25" s="19">
        <f>M25-('Q1'!M25+'Q2'!M25)</f>
        <v>0</v>
      </c>
      <c r="O25" s="19"/>
    </row>
    <row r="26" spans="1:15" s="11" customFormat="1" ht="15" x14ac:dyDescent="0.25">
      <c r="A26" s="28"/>
      <c r="B26" s="34" t="s">
        <v>171</v>
      </c>
      <c r="C26" s="24">
        <f>'Q1'!C26+'Q2'!C26+'Q3'!C26+'Q4'!C26</f>
        <v>50985</v>
      </c>
      <c r="D26" s="24">
        <f>'Q1'!D26+'Q2'!D26+'Q3'!D26+'Q4'!D26</f>
        <v>20063</v>
      </c>
      <c r="E26" s="24">
        <f>'Q1'!E26+'Q2'!E26+'Q3'!E26+'Q4'!E26</f>
        <v>1621</v>
      </c>
      <c r="F26" s="24">
        <f>'Q1'!F26+'Q2'!F26+'Q3'!F26+'Q4'!F26</f>
        <v>125170</v>
      </c>
      <c r="G26" s="24">
        <f>'Q1'!G26+'Q2'!G26+'Q3'!G26+'Q4'!G26</f>
        <v>4987</v>
      </c>
      <c r="H26" s="24">
        <f>'Q1'!H26+'Q2'!H26+'Q3'!H26+'Q4'!H26</f>
        <v>86388</v>
      </c>
      <c r="I26" s="24">
        <f>'Q1'!I26+'Q2'!I26+'Q3'!I26+'Q4'!I26</f>
        <v>0</v>
      </c>
      <c r="J26" s="24">
        <f>'Q1'!J26+'Q2'!J26+'Q3'!J26+'Q4'!J26</f>
        <v>80445</v>
      </c>
      <c r="K26" s="24">
        <f>'Q1'!K26+'Q2'!K26+'Q3'!K26+'Q4'!K26</f>
        <v>29956</v>
      </c>
      <c r="L26" s="24">
        <f>'Q1'!L26+'Q2'!L26+'Q3'!L26+'Q4'!L26</f>
        <v>36502</v>
      </c>
      <c r="M26" s="122">
        <f t="shared" ref="M26:M28" si="6">SUM(C26:L26)</f>
        <v>436117</v>
      </c>
      <c r="N26" s="19">
        <f>M26-('Q1'!M26+'Q2'!M26)</f>
        <v>0</v>
      </c>
      <c r="O26" s="19"/>
    </row>
    <row r="27" spans="1:15" s="11" customFormat="1" ht="15" x14ac:dyDescent="0.25">
      <c r="A27" s="28"/>
      <c r="B27" s="34" t="s">
        <v>172</v>
      </c>
      <c r="C27" s="24">
        <f>'Q1'!C27+'Q2'!C27+'Q3'!C27+'Q4'!C27</f>
        <v>3298</v>
      </c>
      <c r="D27" s="24">
        <f>'Q1'!D27+'Q2'!D27+'Q3'!D27+'Q4'!D27</f>
        <v>-2188</v>
      </c>
      <c r="E27" s="24">
        <f>'Q1'!E27+'Q2'!E27+'Q3'!E27+'Q4'!E27</f>
        <v>1441</v>
      </c>
      <c r="F27" s="24">
        <f>'Q1'!F27+'Q2'!F27+'Q3'!F27+'Q4'!F27</f>
        <v>2499</v>
      </c>
      <c r="G27" s="24">
        <f>'Q1'!G27+'Q2'!G27+'Q3'!G27+'Q4'!G27</f>
        <v>0</v>
      </c>
      <c r="H27" s="24">
        <f>'Q1'!H27+'Q2'!H27+'Q3'!H27+'Q4'!H27</f>
        <v>-327</v>
      </c>
      <c r="I27" s="24">
        <f>'Q1'!I27+'Q2'!I27+'Q3'!I27+'Q4'!I27</f>
        <v>0</v>
      </c>
      <c r="J27" s="24">
        <f>'Q1'!J27+'Q2'!J27+'Q3'!J27+'Q4'!J27</f>
        <v>-597</v>
      </c>
      <c r="K27" s="24">
        <f>'Q1'!K27+'Q2'!K27+'Q3'!K27+'Q4'!K27</f>
        <v>45</v>
      </c>
      <c r="L27" s="24">
        <f>'Q1'!L27+'Q2'!L27+'Q3'!L27+'Q4'!L27</f>
        <v>0</v>
      </c>
      <c r="M27" s="122">
        <f t="shared" si="6"/>
        <v>4171</v>
      </c>
      <c r="N27" s="19">
        <f>M27-('Q1'!M27+'Q2'!M27)</f>
        <v>0</v>
      </c>
      <c r="O27" s="19"/>
    </row>
    <row r="28" spans="1:15" s="11" customFormat="1" ht="15" x14ac:dyDescent="0.25">
      <c r="A28" s="28"/>
      <c r="B28" s="34" t="s">
        <v>17</v>
      </c>
      <c r="C28" s="24">
        <f>'Q1'!C28+'Q2'!C28+'Q3'!C28+'Q4'!C28</f>
        <v>3362</v>
      </c>
      <c r="D28" s="24">
        <f>'Q1'!D28+'Q2'!D28+'Q3'!D28+'Q4'!D28</f>
        <v>4469</v>
      </c>
      <c r="E28" s="24">
        <f>'Q1'!E28+'Q2'!E28+'Q3'!E28+'Q4'!E28</f>
        <v>-4422</v>
      </c>
      <c r="F28" s="24">
        <f>'Q1'!F28+'Q2'!F28+'Q3'!F28+'Q4'!F28</f>
        <v>219</v>
      </c>
      <c r="G28" s="24">
        <f>'Q1'!G28+'Q2'!G28+'Q3'!G28+'Q4'!G28</f>
        <v>0</v>
      </c>
      <c r="H28" s="24">
        <f>'Q1'!H28+'Q2'!H28+'Q3'!H28+'Q4'!H28</f>
        <v>0</v>
      </c>
      <c r="I28" s="24">
        <f>'Q1'!I28+'Q2'!I28+'Q3'!I28+'Q4'!I28</f>
        <v>0</v>
      </c>
      <c r="J28" s="24">
        <f>'Q1'!J28+'Q2'!J28+'Q3'!J28+'Q4'!J28</f>
        <v>2528</v>
      </c>
      <c r="K28" s="24">
        <f>'Q1'!K28+'Q2'!K28+'Q3'!K28+'Q4'!K28</f>
        <v>6371</v>
      </c>
      <c r="L28" s="24">
        <f>'Q1'!L28+'Q2'!L28+'Q3'!L28+'Q4'!L28</f>
        <v>11215</v>
      </c>
      <c r="M28" s="122">
        <f t="shared" si="6"/>
        <v>23742</v>
      </c>
      <c r="N28" s="19">
        <f>M28-('Q1'!M28+'Q2'!M28)</f>
        <v>0</v>
      </c>
      <c r="O28" s="19"/>
    </row>
    <row r="29" spans="1:15" s="11" customFormat="1" ht="15" x14ac:dyDescent="0.25">
      <c r="A29" s="28"/>
      <c r="B29" s="32" t="s">
        <v>18</v>
      </c>
      <c r="C29" s="36">
        <f t="shared" ref="C29:M29" si="7">C23+C25</f>
        <v>452417</v>
      </c>
      <c r="D29" s="36">
        <f t="shared" si="7"/>
        <v>108214</v>
      </c>
      <c r="E29" s="36">
        <f t="shared" si="7"/>
        <v>42880</v>
      </c>
      <c r="F29" s="36">
        <f t="shared" si="7"/>
        <v>157814</v>
      </c>
      <c r="G29" s="36">
        <f t="shared" si="7"/>
        <v>-22172</v>
      </c>
      <c r="H29" s="36">
        <f t="shared" si="7"/>
        <v>198578</v>
      </c>
      <c r="I29" s="36">
        <f t="shared" si="7"/>
        <v>0</v>
      </c>
      <c r="J29" s="36">
        <f t="shared" si="7"/>
        <v>415034</v>
      </c>
      <c r="K29" s="36">
        <f t="shared" si="7"/>
        <v>125515</v>
      </c>
      <c r="L29" s="36">
        <f t="shared" si="7"/>
        <v>277115</v>
      </c>
      <c r="M29" s="126">
        <f t="shared" si="7"/>
        <v>1755395</v>
      </c>
      <c r="N29" s="19">
        <f>M29-('Q1'!M29+'Q2'!M29)</f>
        <v>0</v>
      </c>
      <c r="O29" s="19"/>
    </row>
    <row r="30" spans="1:15" s="11" customFormat="1" ht="12" customHeight="1" x14ac:dyDescent="0.25">
      <c r="A30" s="28"/>
      <c r="B30" s="34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21"/>
      <c r="N30" s="19">
        <f>M30-('Q1'!M30+'Q2'!M30)</f>
        <v>0</v>
      </c>
      <c r="O30" s="19"/>
    </row>
    <row r="31" spans="1:15" s="11" customFormat="1" ht="15" x14ac:dyDescent="0.25">
      <c r="A31" s="28"/>
      <c r="B31" s="32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1"/>
      <c r="N31" s="19">
        <f>M31-('Q1'!M31+'Q2'!M31)</f>
        <v>0</v>
      </c>
      <c r="O31" s="19"/>
    </row>
    <row r="32" spans="1:15" s="11" customFormat="1" ht="15" customHeight="1" x14ac:dyDescent="0.25">
      <c r="A32" s="28"/>
      <c r="B32" s="37" t="s">
        <v>20</v>
      </c>
      <c r="C32" s="24">
        <f>'Q1'!C32+'Q2'!C32+'Q3'!C32+'Q4'!C32</f>
        <v>-10868</v>
      </c>
      <c r="D32" s="24">
        <f>'Q1'!D32+'Q2'!D32+'Q3'!D32+'Q4'!D32</f>
        <v>-4380</v>
      </c>
      <c r="E32" s="24">
        <f>'Q1'!E32+'Q2'!E32+'Q3'!E32+'Q4'!E32</f>
        <v>-1380</v>
      </c>
      <c r="F32" s="24">
        <f>'Q1'!F32+'Q2'!F32+'Q3'!F32+'Q4'!F32</f>
        <v>-6768</v>
      </c>
      <c r="G32" s="24">
        <f>'Q1'!G32+'Q2'!G32+'Q3'!G32+'Q4'!G32</f>
        <v>-2435</v>
      </c>
      <c r="H32" s="24">
        <f>'Q1'!H32+'Q2'!H32+'Q3'!H32+'Q4'!H32</f>
        <v>-6333</v>
      </c>
      <c r="I32" s="24">
        <f>'Q1'!I32+'Q2'!I32+'Q3'!I32+'Q4'!I32</f>
        <v>0</v>
      </c>
      <c r="J32" s="24">
        <f>'Q1'!J32+'Q2'!J32+'Q3'!J32+'Q4'!J32</f>
        <v>-11828</v>
      </c>
      <c r="K32" s="24">
        <f>'Q1'!K32+'Q2'!K32+'Q3'!K32+'Q4'!K32</f>
        <v>-5252</v>
      </c>
      <c r="L32" s="24">
        <f>'Q1'!L32+'Q2'!L32+'Q3'!L32+'Q4'!L32</f>
        <v>-13789</v>
      </c>
      <c r="M32" s="122">
        <f>SUM(C32:L32)</f>
        <v>-63033</v>
      </c>
      <c r="N32" s="19">
        <f>M32-('Q1'!M32+'Q2'!M32)</f>
        <v>0</v>
      </c>
      <c r="O32" s="19"/>
    </row>
    <row r="33" spans="1:15" s="11" customFormat="1" ht="11.45" customHeight="1" x14ac:dyDescent="0.25">
      <c r="A33" s="28"/>
      <c r="B33" s="17" t="s">
        <v>21</v>
      </c>
      <c r="C33" s="24">
        <f>'Q1'!C33+'Q2'!C33+'Q3'!C33+'Q4'!C33</f>
        <v>-171981</v>
      </c>
      <c r="D33" s="24">
        <f>'Q1'!D33+'Q2'!D33+'Q3'!D33+'Q4'!D33</f>
        <v>-70862</v>
      </c>
      <c r="E33" s="24">
        <f>'Q1'!E33+'Q2'!E33+'Q3'!E33+'Q4'!E33</f>
        <v>-42579</v>
      </c>
      <c r="F33" s="24">
        <f>'Q1'!F33+'Q2'!F33+'Q3'!F33+'Q4'!F33-2</f>
        <v>-72935</v>
      </c>
      <c r="G33" s="24">
        <f>'Q1'!G33+'Q2'!G33+'Q3'!G33+'Q4'!G33-1</f>
        <v>-23473</v>
      </c>
      <c r="H33" s="24">
        <f>'Q1'!H33+'Q2'!H33+'Q3'!H33+'Q4'!H33</f>
        <v>-94320</v>
      </c>
      <c r="I33" s="24">
        <f>'Q1'!I33+'Q2'!I33+'Q3'!I33+'Q4'!I33</f>
        <v>0</v>
      </c>
      <c r="J33" s="24">
        <f>'Q1'!J33+'Q2'!J33+'Q3'!J33+'Q4'!J33-1</f>
        <v>-259408</v>
      </c>
      <c r="K33" s="24">
        <f>'Q1'!K33+'Q2'!K33+'Q3'!K33+'Q4'!K33</f>
        <v>-90598</v>
      </c>
      <c r="L33" s="24">
        <f>'Q1'!L33+'Q2'!L33+'Q3'!L33+'Q4'!L33</f>
        <v>-194480</v>
      </c>
      <c r="M33" s="122">
        <f>SUM(C33:L33)</f>
        <v>-1020636</v>
      </c>
      <c r="N33" s="19">
        <f>M33-('Q1'!M33+'Q2'!M33)+4</f>
        <v>0</v>
      </c>
      <c r="O33" s="19"/>
    </row>
    <row r="34" spans="1:15" s="11" customFormat="1" ht="10.5" customHeight="1" x14ac:dyDescent="0.25">
      <c r="A34" s="28"/>
      <c r="B34" s="40" t="s">
        <v>22</v>
      </c>
      <c r="C34" s="41">
        <f>SUM(C32:C33)</f>
        <v>-182849</v>
      </c>
      <c r="D34" s="41">
        <f t="shared" ref="D34:L34" si="8">SUM(D32:D33)</f>
        <v>-75242</v>
      </c>
      <c r="E34" s="41">
        <f t="shared" si="8"/>
        <v>-43959</v>
      </c>
      <c r="F34" s="41">
        <f t="shared" si="8"/>
        <v>-79703</v>
      </c>
      <c r="G34" s="41">
        <f t="shared" si="8"/>
        <v>-25908</v>
      </c>
      <c r="H34" s="41">
        <f t="shared" si="8"/>
        <v>-100653</v>
      </c>
      <c r="I34" s="41">
        <f t="shared" si="8"/>
        <v>0</v>
      </c>
      <c r="J34" s="41">
        <f t="shared" si="8"/>
        <v>-271236</v>
      </c>
      <c r="K34" s="41">
        <f t="shared" si="8"/>
        <v>-95850</v>
      </c>
      <c r="L34" s="41">
        <f t="shared" si="8"/>
        <v>-208269</v>
      </c>
      <c r="M34" s="128">
        <f t="shared" ref="M34" si="9">SUM(M32:M33)</f>
        <v>-1083669</v>
      </c>
      <c r="N34" s="19"/>
      <c r="O34" s="19"/>
    </row>
    <row r="35" spans="1:15" s="11" customFormat="1" ht="12.75" customHeight="1" x14ac:dyDescent="0.25">
      <c r="A35" s="28"/>
      <c r="B35" s="1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127"/>
      <c r="N35" s="19"/>
      <c r="O35" s="19"/>
    </row>
    <row r="36" spans="1:15" s="11" customFormat="1" ht="15" x14ac:dyDescent="0.25">
      <c r="A36" s="28"/>
      <c r="B36" s="40" t="s">
        <v>23</v>
      </c>
      <c r="C36" s="35">
        <f t="shared" ref="C36:M36" si="10">C29+C34</f>
        <v>269568</v>
      </c>
      <c r="D36" s="35">
        <f t="shared" si="10"/>
        <v>32972</v>
      </c>
      <c r="E36" s="35">
        <f t="shared" si="10"/>
        <v>-1079</v>
      </c>
      <c r="F36" s="35">
        <f t="shared" si="10"/>
        <v>78111</v>
      </c>
      <c r="G36" s="35">
        <f t="shared" si="10"/>
        <v>-48080</v>
      </c>
      <c r="H36" s="35">
        <f t="shared" si="10"/>
        <v>97925</v>
      </c>
      <c r="I36" s="35">
        <f t="shared" si="10"/>
        <v>0</v>
      </c>
      <c r="J36" s="35">
        <f t="shared" si="10"/>
        <v>143798</v>
      </c>
      <c r="K36" s="35">
        <f t="shared" si="10"/>
        <v>29665</v>
      </c>
      <c r="L36" s="35">
        <f t="shared" si="10"/>
        <v>68846</v>
      </c>
      <c r="M36" s="129">
        <f t="shared" si="10"/>
        <v>671726</v>
      </c>
      <c r="N36" s="19"/>
      <c r="O36" s="19"/>
    </row>
    <row r="37" spans="1:15" s="11" customFormat="1" ht="15" x14ac:dyDescent="0.25">
      <c r="A37" s="28"/>
      <c r="B37" s="40" t="s">
        <v>24</v>
      </c>
      <c r="C37" s="24">
        <f>'Q1'!C37+'Q2'!C37+'Q3'!C37+'Q4'!C37</f>
        <v>0</v>
      </c>
      <c r="D37" s="24">
        <f>'Q1'!D37+'Q2'!D37+'Q3'!D37+'Q4'!D37</f>
        <v>0</v>
      </c>
      <c r="E37" s="24">
        <f>'Q1'!E37+'Q2'!E37+'Q3'!E37+'Q4'!E37</f>
        <v>0</v>
      </c>
      <c r="F37" s="24">
        <f>'Q1'!F37+'Q2'!F37+'Q3'!F37+'Q4'!F37</f>
        <v>0</v>
      </c>
      <c r="G37" s="24">
        <f>'Q1'!G37+'Q2'!G37+'Q3'!G37+'Q4'!G37</f>
        <v>0</v>
      </c>
      <c r="H37" s="24">
        <f>'Q1'!H37+'Q2'!H37+'Q3'!H37+'Q4'!H37</f>
        <v>0</v>
      </c>
      <c r="I37" s="24">
        <f>'Q1'!I37+'Q2'!I37+'Q3'!I37+'Q4'!I37</f>
        <v>0</v>
      </c>
      <c r="J37" s="24">
        <f>'Q1'!J37+'Q2'!J37+'Q3'!J37+'Q4'!J37</f>
        <v>0</v>
      </c>
      <c r="K37" s="24">
        <f>'Q1'!K37+'Q2'!K37+'Q3'!K37+'Q4'!K37</f>
        <v>0</v>
      </c>
      <c r="L37" s="24">
        <f>'Q1'!L37+'Q2'!L37+'Q3'!L37+'Q4'!L37</f>
        <v>0</v>
      </c>
      <c r="M37" s="122">
        <f>SUM(C37:L37)</f>
        <v>0</v>
      </c>
      <c r="N37" s="19"/>
      <c r="O37" s="19"/>
    </row>
    <row r="38" spans="1:15" s="11" customFormat="1" ht="15" x14ac:dyDescent="0.25">
      <c r="A38" s="28"/>
      <c r="B38" s="40" t="s">
        <v>25</v>
      </c>
      <c r="C38" s="21">
        <f>SUM(C36:C37)</f>
        <v>269568</v>
      </c>
      <c r="D38" s="21">
        <f t="shared" ref="D38:L38" si="11">SUM(D36:D37)</f>
        <v>32972</v>
      </c>
      <c r="E38" s="21">
        <f t="shared" si="11"/>
        <v>-1079</v>
      </c>
      <c r="F38" s="21">
        <f t="shared" si="11"/>
        <v>78111</v>
      </c>
      <c r="G38" s="21">
        <f t="shared" si="11"/>
        <v>-48080</v>
      </c>
      <c r="H38" s="21">
        <f t="shared" si="11"/>
        <v>97925</v>
      </c>
      <c r="I38" s="21">
        <f t="shared" si="11"/>
        <v>0</v>
      </c>
      <c r="J38" s="21">
        <f t="shared" si="11"/>
        <v>143798</v>
      </c>
      <c r="K38" s="21">
        <f t="shared" si="11"/>
        <v>29665</v>
      </c>
      <c r="L38" s="21">
        <f t="shared" si="11"/>
        <v>68846</v>
      </c>
      <c r="M38" s="122">
        <f>SUM(C38:L38)</f>
        <v>671726</v>
      </c>
      <c r="N38" s="19"/>
      <c r="O38" s="19"/>
    </row>
    <row r="39" spans="1:15" ht="15" x14ac:dyDescent="0.25">
      <c r="A39" s="28"/>
      <c r="B39" s="17" t="s">
        <v>26</v>
      </c>
      <c r="C39" s="24">
        <f>'Q1'!C39+'Q2'!C39+'Q3'!C39+'Q4'!C39</f>
        <v>-80934</v>
      </c>
      <c r="D39" s="24">
        <f>'Q1'!D39+'Q2'!D39+'Q3'!D39+'Q4'!D39</f>
        <v>-9891</v>
      </c>
      <c r="E39" s="24">
        <f>'Q1'!E39+'Q2'!E39+'Q3'!E39+'Q4'!E39</f>
        <v>-822</v>
      </c>
      <c r="F39" s="24">
        <f>'Q1'!F39+'Q2'!F39+'Q3'!F39+'Q4'!F39</f>
        <v>-27563</v>
      </c>
      <c r="G39" s="24">
        <f>'Q1'!G39+'Q2'!G39+'Q3'!G39+'Q4'!G39</f>
        <v>0</v>
      </c>
      <c r="H39" s="24">
        <f>'Q1'!H39+'Q2'!H39+'Q3'!H39+'Q4'!H39</f>
        <v>-29378</v>
      </c>
      <c r="I39" s="24">
        <f>'Q1'!I39+'Q2'!I39+'Q3'!I39+'Q4'!I39</f>
        <v>0</v>
      </c>
      <c r="J39" s="24">
        <f>'Q1'!J39+'Q2'!J39+'Q3'!J39+'Q4'!J39</f>
        <v>0</v>
      </c>
      <c r="K39" s="24">
        <f>'Q1'!K39+'Q2'!K39+'Q3'!K39+'Q4'!K39</f>
        <v>-8400</v>
      </c>
      <c r="L39" s="24">
        <f>'Q1'!L39+'Q2'!L39+'Q3'!L39+'Q4'!L39</f>
        <v>0</v>
      </c>
      <c r="M39" s="122">
        <f>SUM(C39:L39)</f>
        <v>-156988</v>
      </c>
      <c r="N39" s="19"/>
      <c r="O39" s="19"/>
    </row>
    <row r="40" spans="1:15" s="11" customFormat="1" ht="15" x14ac:dyDescent="0.25">
      <c r="A40" s="28"/>
      <c r="B40" s="40" t="s">
        <v>27</v>
      </c>
      <c r="C40" s="43">
        <f>SUM(C38:C39)</f>
        <v>188634</v>
      </c>
      <c r="D40" s="43">
        <f t="shared" ref="D40:L40" si="12">SUM(D38:D39)</f>
        <v>23081</v>
      </c>
      <c r="E40" s="43">
        <f t="shared" si="12"/>
        <v>-1901</v>
      </c>
      <c r="F40" s="43">
        <f t="shared" si="12"/>
        <v>50548</v>
      </c>
      <c r="G40" s="43">
        <f t="shared" si="12"/>
        <v>-48080</v>
      </c>
      <c r="H40" s="43">
        <f t="shared" si="12"/>
        <v>68547</v>
      </c>
      <c r="I40" s="43">
        <f t="shared" si="12"/>
        <v>0</v>
      </c>
      <c r="J40" s="43">
        <f t="shared" si="12"/>
        <v>143798</v>
      </c>
      <c r="K40" s="43">
        <f t="shared" si="12"/>
        <v>21265</v>
      </c>
      <c r="L40" s="43">
        <f t="shared" si="12"/>
        <v>68846</v>
      </c>
      <c r="M40" s="130">
        <f t="shared" ref="M40" si="13">SUM(M38:M39)</f>
        <v>514738</v>
      </c>
      <c r="N40" s="19"/>
      <c r="O40" s="19"/>
    </row>
    <row r="41" spans="1:15" s="11" customFormat="1" ht="15" x14ac:dyDescent="0.25">
      <c r="A41" s="28"/>
      <c r="B41" s="40"/>
      <c r="C41" s="291"/>
      <c r="D41" s="261"/>
      <c r="E41" s="261"/>
      <c r="F41" s="261"/>
      <c r="G41" s="261"/>
      <c r="H41" s="261"/>
      <c r="I41" s="45"/>
      <c r="J41" s="261"/>
      <c r="K41" s="261"/>
      <c r="L41" s="261"/>
      <c r="M41" s="129"/>
      <c r="N41" s="19">
        <f>M41-'Q1'!M41</f>
        <v>0</v>
      </c>
    </row>
    <row r="42" spans="1:15" s="11" customFormat="1" ht="15" x14ac:dyDescent="0.25">
      <c r="A42" s="28"/>
      <c r="B42" s="32"/>
      <c r="C42" s="300"/>
      <c r="D42" s="47"/>
      <c r="F42" s="302"/>
      <c r="G42" s="35"/>
      <c r="I42" s="47"/>
      <c r="J42" s="47"/>
      <c r="K42" s="47"/>
      <c r="L42" s="47"/>
      <c r="M42" s="131"/>
      <c r="N42" s="19">
        <f>M42-'Q1'!M42</f>
        <v>0</v>
      </c>
    </row>
    <row r="43" spans="1:15" s="11" customFormat="1" ht="15.75" thickBot="1" x14ac:dyDescent="0.3">
      <c r="A43" s="28"/>
      <c r="B43" s="49" t="s">
        <v>28</v>
      </c>
      <c r="C43" s="260" t="str">
        <f>C10</f>
        <v>Bayport</v>
      </c>
      <c r="D43" s="260" t="str">
        <f t="shared" ref="D43:L43" si="14">D10</f>
        <v>EFC</v>
      </c>
      <c r="E43" s="260" t="str">
        <f t="shared" si="14"/>
        <v>Finca</v>
      </c>
      <c r="F43" s="260" t="str">
        <f t="shared" si="14"/>
        <v>LOLC Finance</v>
      </c>
      <c r="G43" s="260" t="str">
        <f t="shared" si="14"/>
        <v>Madison Finance</v>
      </c>
      <c r="H43" s="260" t="str">
        <f t="shared" si="14"/>
        <v>Microfinance</v>
      </c>
      <c r="I43" s="260" t="str">
        <f t="shared" si="14"/>
        <v>MyBucks</v>
      </c>
      <c r="J43" s="260" t="str">
        <f t="shared" si="14"/>
        <v>Natsave</v>
      </c>
      <c r="K43" s="260" t="str">
        <f t="shared" si="14"/>
        <v>Vision Fund</v>
      </c>
      <c r="L43" s="260" t="str">
        <f t="shared" si="14"/>
        <v>ZNBS</v>
      </c>
      <c r="M43" s="263" t="s">
        <v>4</v>
      </c>
      <c r="N43" s="19"/>
    </row>
    <row r="44" spans="1:15" s="11" customFormat="1" ht="15.75" thickTop="1" x14ac:dyDescent="0.25">
      <c r="A44" s="28"/>
      <c r="B44" s="50"/>
      <c r="C44" s="16">
        <f>Data!B3</f>
        <v>46203</v>
      </c>
      <c r="D44" s="16">
        <f>C44</f>
        <v>46203</v>
      </c>
      <c r="E44" s="16">
        <f t="shared" ref="E44:J44" si="15">D44</f>
        <v>46203</v>
      </c>
      <c r="F44" s="16">
        <f t="shared" si="15"/>
        <v>46203</v>
      </c>
      <c r="G44" s="16">
        <f>E44</f>
        <v>46203</v>
      </c>
      <c r="H44" s="16">
        <f t="shared" si="15"/>
        <v>46203</v>
      </c>
      <c r="I44" s="16">
        <f t="shared" si="15"/>
        <v>46203</v>
      </c>
      <c r="J44" s="16">
        <f t="shared" si="15"/>
        <v>46203</v>
      </c>
      <c r="K44" s="16">
        <f t="shared" ref="K44" si="16">I44</f>
        <v>46203</v>
      </c>
      <c r="L44" s="16">
        <f t="shared" ref="L44" si="17">K44</f>
        <v>46203</v>
      </c>
      <c r="M44" s="119">
        <f>L44</f>
        <v>46203</v>
      </c>
      <c r="N44" s="19"/>
    </row>
    <row r="45" spans="1:15" s="11" customFormat="1" ht="15" x14ac:dyDescent="0.25">
      <c r="A45" s="28"/>
      <c r="B45" s="50"/>
      <c r="C45" s="18" t="s">
        <v>5</v>
      </c>
      <c r="D45" s="18" t="s">
        <v>5</v>
      </c>
      <c r="E45" s="18" t="s">
        <v>5</v>
      </c>
      <c r="F45" s="18" t="s">
        <v>5</v>
      </c>
      <c r="G45" s="18" t="s">
        <v>5</v>
      </c>
      <c r="H45" s="18" t="s">
        <v>5</v>
      </c>
      <c r="I45" s="18" t="s">
        <v>5</v>
      </c>
      <c r="J45" s="18" t="s">
        <v>5</v>
      </c>
      <c r="K45" s="18" t="s">
        <v>5</v>
      </c>
      <c r="L45" s="18" t="s">
        <v>5</v>
      </c>
      <c r="M45" s="120" t="s">
        <v>5</v>
      </c>
      <c r="N45" s="19"/>
    </row>
    <row r="46" spans="1:15" s="11" customFormat="1" ht="18.75" customHeight="1" x14ac:dyDescent="0.25">
      <c r="A46" s="28"/>
      <c r="B46" s="32" t="s">
        <v>29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32"/>
      <c r="N46" s="19">
        <f>M46-'Q1'!M46</f>
        <v>0</v>
      </c>
    </row>
    <row r="47" spans="1:15" s="11" customFormat="1" ht="13.5" customHeight="1" x14ac:dyDescent="0.25">
      <c r="A47" s="28"/>
      <c r="B47" s="34" t="s">
        <v>72</v>
      </c>
      <c r="C47" s="39">
        <f>'Q2'!C47</f>
        <v>616637</v>
      </c>
      <c r="D47" s="39">
        <f>'Q2'!D47</f>
        <v>133585</v>
      </c>
      <c r="E47" s="39">
        <f>'Q2'!E47</f>
        <v>85534</v>
      </c>
      <c r="F47" s="39">
        <f>'Q2'!F47</f>
        <v>329116</v>
      </c>
      <c r="G47" s="39">
        <f>'Q2'!G47</f>
        <v>44854</v>
      </c>
      <c r="H47" s="39">
        <f>'Q2'!H47</f>
        <v>120577</v>
      </c>
      <c r="I47" s="39">
        <f>'Q2'!I47</f>
        <v>0</v>
      </c>
      <c r="J47" s="39">
        <f>'Q2'!J47</f>
        <v>462721</v>
      </c>
      <c r="K47" s="39">
        <f>'Q2'!K47</f>
        <v>39153</v>
      </c>
      <c r="L47" s="39">
        <f>'Q2'!L47</f>
        <v>564511</v>
      </c>
      <c r="M47" s="122">
        <f t="shared" ref="M47:M53" si="18">SUM(C47:L47)</f>
        <v>2396688</v>
      </c>
      <c r="N47" s="19">
        <f>'Q2'!M47-M47</f>
        <v>0</v>
      </c>
      <c r="O47" s="35"/>
    </row>
    <row r="48" spans="1:15" s="11" customFormat="1" ht="13.5" customHeight="1" x14ac:dyDescent="0.25">
      <c r="A48" s="28"/>
      <c r="B48" s="34" t="s">
        <v>73</v>
      </c>
      <c r="C48" s="39">
        <f>'Q2'!C48</f>
        <v>0</v>
      </c>
      <c r="D48" s="39">
        <f>'Q2'!D48</f>
        <v>114322</v>
      </c>
      <c r="E48" s="39">
        <f>'Q2'!E48</f>
        <v>16777</v>
      </c>
      <c r="F48" s="39">
        <f>'Q2'!F48</f>
        <v>0</v>
      </c>
      <c r="G48" s="39">
        <f>'Q2'!G48</f>
        <v>0</v>
      </c>
      <c r="H48" s="39">
        <f>'Q2'!H48</f>
        <v>280800</v>
      </c>
      <c r="I48" s="39">
        <f>'Q2'!I48</f>
        <v>0</v>
      </c>
      <c r="J48" s="39">
        <f>'Q2'!J48</f>
        <v>433001</v>
      </c>
      <c r="K48" s="39">
        <f>'Q2'!K48</f>
        <v>0</v>
      </c>
      <c r="L48" s="39">
        <f>'Q2'!L48</f>
        <v>633857</v>
      </c>
      <c r="M48" s="122">
        <f t="shared" si="18"/>
        <v>1478757</v>
      </c>
      <c r="N48" s="19">
        <f>'Q2'!M48-M48</f>
        <v>0</v>
      </c>
      <c r="O48" s="35"/>
    </row>
    <row r="49" spans="1:15" s="11" customFormat="1" ht="13.5" customHeight="1" x14ac:dyDescent="0.25">
      <c r="A49" s="28"/>
      <c r="B49" s="34" t="s">
        <v>74</v>
      </c>
      <c r="C49" s="39">
        <f>'Q2'!C49</f>
        <v>3912125</v>
      </c>
      <c r="D49" s="39">
        <f>'Q2'!D49</f>
        <v>492402</v>
      </c>
      <c r="E49" s="39">
        <f>'Q2'!E49</f>
        <v>232439</v>
      </c>
      <c r="F49" s="39">
        <f>'Q2'!F49</f>
        <v>950343</v>
      </c>
      <c r="G49" s="39">
        <f>'Q2'!G49</f>
        <v>168718</v>
      </c>
      <c r="H49" s="39">
        <f>'Q2'!H49</f>
        <v>1259747</v>
      </c>
      <c r="I49" s="39">
        <f>'Q2'!I49</f>
        <v>0</v>
      </c>
      <c r="J49" s="39">
        <f>'Q2'!J49</f>
        <v>2253761</v>
      </c>
      <c r="K49" s="39">
        <f>'Q2'!K49</f>
        <v>440140</v>
      </c>
      <c r="L49" s="39">
        <f>'Q2'!L49</f>
        <v>2728660</v>
      </c>
      <c r="M49" s="122">
        <f t="shared" si="18"/>
        <v>12438335</v>
      </c>
      <c r="N49" s="19">
        <f>'Q2'!M49-M49</f>
        <v>0</v>
      </c>
      <c r="O49" s="35"/>
    </row>
    <row r="50" spans="1:15" ht="15" x14ac:dyDescent="0.25">
      <c r="A50" s="28"/>
      <c r="B50" s="34" t="s">
        <v>75</v>
      </c>
      <c r="C50" s="39">
        <f>'Q2'!C50</f>
        <v>0</v>
      </c>
      <c r="D50" s="39">
        <f>'Q2'!D50</f>
        <v>0</v>
      </c>
      <c r="E50" s="39">
        <f>'Q2'!E50</f>
        <v>-37319</v>
      </c>
      <c r="F50" s="39">
        <f>'Q2'!F50</f>
        <v>-59205</v>
      </c>
      <c r="G50" s="39">
        <f>'Q2'!G50</f>
        <v>0</v>
      </c>
      <c r="H50" s="39">
        <f>'Q2'!H50</f>
        <v>0</v>
      </c>
      <c r="I50" s="39">
        <f>'Q2'!I50</f>
        <v>0</v>
      </c>
      <c r="J50" s="39">
        <f>'Q2'!J50</f>
        <v>0</v>
      </c>
      <c r="K50" s="39">
        <f>'Q2'!K50</f>
        <v>-6612</v>
      </c>
      <c r="L50" s="39">
        <f>'Q2'!L50</f>
        <v>0</v>
      </c>
      <c r="M50" s="122">
        <f t="shared" si="18"/>
        <v>-103136</v>
      </c>
      <c r="N50" s="19">
        <f>'Q2'!M50-M50</f>
        <v>0</v>
      </c>
      <c r="O50" s="35"/>
    </row>
    <row r="51" spans="1:15" ht="15" x14ac:dyDescent="0.25">
      <c r="A51" s="28"/>
      <c r="B51" s="34" t="s">
        <v>176</v>
      </c>
      <c r="C51" s="246">
        <f>SUM(C49:C50)</f>
        <v>3912125</v>
      </c>
      <c r="D51" s="246">
        <f t="shared" ref="D51:L51" si="19">SUM(D49:D50)</f>
        <v>492402</v>
      </c>
      <c r="E51" s="246">
        <f t="shared" si="19"/>
        <v>195120</v>
      </c>
      <c r="F51" s="246">
        <f t="shared" si="19"/>
        <v>891138</v>
      </c>
      <c r="G51" s="246">
        <f t="shared" si="19"/>
        <v>168718</v>
      </c>
      <c r="H51" s="246">
        <f t="shared" si="19"/>
        <v>1259747</v>
      </c>
      <c r="I51" s="246">
        <f t="shared" si="19"/>
        <v>0</v>
      </c>
      <c r="J51" s="246">
        <f t="shared" si="19"/>
        <v>2253761</v>
      </c>
      <c r="K51" s="246">
        <f t="shared" si="19"/>
        <v>433528</v>
      </c>
      <c r="L51" s="246">
        <f t="shared" si="19"/>
        <v>2728660</v>
      </c>
      <c r="M51" s="122">
        <f t="shared" ref="M51" si="20">SUM(M49:M50)</f>
        <v>12335199</v>
      </c>
      <c r="N51" s="19">
        <f>'Q2'!M51-M51</f>
        <v>0</v>
      </c>
      <c r="O51" s="35"/>
    </row>
    <row r="52" spans="1:15" ht="15" x14ac:dyDescent="0.25">
      <c r="A52" s="28"/>
      <c r="B52" s="17" t="s">
        <v>77</v>
      </c>
      <c r="C52" s="39">
        <f>'Q2'!C52</f>
        <v>52464</v>
      </c>
      <c r="D52" s="39">
        <f>'Q2'!D52</f>
        <v>17287</v>
      </c>
      <c r="E52" s="39">
        <f>'Q2'!E52</f>
        <v>12562</v>
      </c>
      <c r="F52" s="39">
        <f>'Q2'!F52</f>
        <v>16199</v>
      </c>
      <c r="G52" s="39">
        <f>'Q2'!G52</f>
        <v>2379</v>
      </c>
      <c r="H52" s="39">
        <f>'Q2'!H52</f>
        <v>30287</v>
      </c>
      <c r="I52" s="39">
        <f>'Q2'!I52</f>
        <v>0</v>
      </c>
      <c r="J52" s="39">
        <f>'Q2'!J52</f>
        <v>128806</v>
      </c>
      <c r="K52" s="39">
        <f>'Q2'!K52</f>
        <v>36682</v>
      </c>
      <c r="L52" s="39">
        <f>'Q2'!L52</f>
        <v>575049</v>
      </c>
      <c r="M52" s="122">
        <f t="shared" si="18"/>
        <v>871715</v>
      </c>
      <c r="N52" s="19">
        <f>'Q2'!M52-M52</f>
        <v>0</v>
      </c>
      <c r="O52" s="35"/>
    </row>
    <row r="53" spans="1:15" ht="15" outlineLevel="1" x14ac:dyDescent="0.25">
      <c r="A53" s="28"/>
      <c r="B53" s="17" t="s">
        <v>78</v>
      </c>
      <c r="C53" s="39">
        <f>'Q2'!C53</f>
        <v>154957</v>
      </c>
      <c r="D53" s="39">
        <f>'Q2'!D53</f>
        <v>87134</v>
      </c>
      <c r="E53" s="39">
        <f>'Q2'!E53</f>
        <v>59981</v>
      </c>
      <c r="F53" s="39">
        <f>'Q2'!F53</f>
        <v>136092</v>
      </c>
      <c r="G53" s="39">
        <f>'Q2'!G53</f>
        <v>30370</v>
      </c>
      <c r="H53" s="39">
        <f>'Q2'!H53</f>
        <v>107958</v>
      </c>
      <c r="I53" s="39">
        <f>'Q2'!I53</f>
        <v>0</v>
      </c>
      <c r="J53" s="39">
        <f>'Q2'!J53</f>
        <v>458966</v>
      </c>
      <c r="K53" s="39">
        <f>'Q2'!K53</f>
        <v>43518</v>
      </c>
      <c r="L53" s="39">
        <f>'Q2'!L53</f>
        <v>220299</v>
      </c>
      <c r="M53" s="122">
        <f t="shared" si="18"/>
        <v>1299275</v>
      </c>
      <c r="N53" s="19">
        <f>'Q2'!M53-M53</f>
        <v>0</v>
      </c>
      <c r="O53" s="35"/>
    </row>
    <row r="54" spans="1:15" ht="13.5" thickBot="1" x14ac:dyDescent="0.3">
      <c r="B54" s="32" t="s">
        <v>30</v>
      </c>
      <c r="C54" s="51">
        <f t="shared" ref="C54:M54" si="21">SUM(C47:C48)+C51+C52+C53</f>
        <v>4736183</v>
      </c>
      <c r="D54" s="51">
        <f t="shared" si="21"/>
        <v>844730</v>
      </c>
      <c r="E54" s="51">
        <f t="shared" si="21"/>
        <v>369974</v>
      </c>
      <c r="F54" s="51">
        <f t="shared" si="21"/>
        <v>1372545</v>
      </c>
      <c r="G54" s="51">
        <f t="shared" si="21"/>
        <v>246321</v>
      </c>
      <c r="H54" s="51">
        <f t="shared" si="21"/>
        <v>1799369</v>
      </c>
      <c r="I54" s="51">
        <f t="shared" si="21"/>
        <v>0</v>
      </c>
      <c r="J54" s="51">
        <f t="shared" si="21"/>
        <v>3737255</v>
      </c>
      <c r="K54" s="51">
        <f t="shared" si="21"/>
        <v>552881</v>
      </c>
      <c r="L54" s="51">
        <f t="shared" si="21"/>
        <v>4722376</v>
      </c>
      <c r="M54" s="51">
        <f t="shared" si="21"/>
        <v>18381634</v>
      </c>
      <c r="N54" s="19">
        <f>'Q2'!M54-M54</f>
        <v>0</v>
      </c>
      <c r="O54" s="35"/>
    </row>
    <row r="55" spans="1:15" ht="13.5" thickTop="1" x14ac:dyDescent="0.25">
      <c r="B55" s="1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23"/>
      <c r="N55" s="19">
        <f>'Q2'!M55-M55</f>
        <v>0</v>
      </c>
    </row>
    <row r="56" spans="1:15" x14ac:dyDescent="0.25">
      <c r="B56" s="32" t="s">
        <v>31</v>
      </c>
      <c r="C56" s="48"/>
      <c r="D56" s="46"/>
      <c r="E56" s="48"/>
      <c r="F56" s="48"/>
      <c r="G56" s="48"/>
      <c r="H56" s="48">
        <v>0</v>
      </c>
      <c r="I56" s="46"/>
      <c r="J56" s="46"/>
      <c r="K56" s="46"/>
      <c r="L56" s="46"/>
      <c r="M56" s="133"/>
      <c r="N56" s="19">
        <f>'Q2'!M56-M56</f>
        <v>0</v>
      </c>
    </row>
    <row r="57" spans="1:15" ht="15" x14ac:dyDescent="0.25">
      <c r="B57" t="s">
        <v>188</v>
      </c>
      <c r="C57" s="48">
        <f>SUM(C58:C59)</f>
        <v>840056</v>
      </c>
      <c r="D57" s="48">
        <f t="shared" ref="D57:M57" si="22">SUM(D58:D59)</f>
        <v>217601</v>
      </c>
      <c r="E57" s="48">
        <f t="shared" si="22"/>
        <v>235230</v>
      </c>
      <c r="F57" s="48">
        <f t="shared" si="22"/>
        <v>971498</v>
      </c>
      <c r="G57" s="48">
        <f t="shared" si="22"/>
        <v>239020</v>
      </c>
      <c r="H57" s="48">
        <f t="shared" si="22"/>
        <v>933664</v>
      </c>
      <c r="I57" s="48">
        <f t="shared" si="22"/>
        <v>0</v>
      </c>
      <c r="J57" s="48">
        <f t="shared" si="22"/>
        <v>2588866</v>
      </c>
      <c r="K57" s="48">
        <f t="shared" si="22"/>
        <v>52519</v>
      </c>
      <c r="L57" s="48">
        <f t="shared" si="22"/>
        <v>2150472</v>
      </c>
      <c r="M57" s="122">
        <f t="shared" si="22"/>
        <v>8228926</v>
      </c>
      <c r="N57" s="19">
        <f>'Q2'!M57-M57</f>
        <v>0</v>
      </c>
      <c r="O57" s="35"/>
    </row>
    <row r="58" spans="1:15" x14ac:dyDescent="0.25">
      <c r="B58" s="17" t="s">
        <v>76</v>
      </c>
      <c r="C58" s="270">
        <f>'Q2'!C58</f>
        <v>0</v>
      </c>
      <c r="D58" s="270">
        <f>'Q2'!D58</f>
        <v>217601</v>
      </c>
      <c r="E58" s="270">
        <f>'Q2'!E58</f>
        <v>235230</v>
      </c>
      <c r="F58" s="270">
        <f>'Q2'!F58</f>
        <v>969931</v>
      </c>
      <c r="G58" s="270">
        <f>'Q2'!G58</f>
        <v>239020</v>
      </c>
      <c r="H58" s="270">
        <f>'Q2'!H58</f>
        <v>933664</v>
      </c>
      <c r="I58" s="270">
        <f>'Q2'!I58</f>
        <v>0</v>
      </c>
      <c r="J58" s="270">
        <f>'Q2'!J58</f>
        <v>2195797</v>
      </c>
      <c r="K58" s="270">
        <f>'Q2'!K58</f>
        <v>52519</v>
      </c>
      <c r="L58" s="270">
        <f>'Q2'!L58</f>
        <v>2150472</v>
      </c>
      <c r="M58" s="139">
        <f t="shared" ref="M58:M65" si="23">SUM(C58:L58)</f>
        <v>6994234</v>
      </c>
      <c r="N58" s="19">
        <f>'Q2'!M58-M58</f>
        <v>0</v>
      </c>
      <c r="O58" s="35"/>
    </row>
    <row r="59" spans="1:15" x14ac:dyDescent="0.25">
      <c r="B59" s="17" t="s">
        <v>177</v>
      </c>
      <c r="C59" s="271">
        <f>'Q2'!C59</f>
        <v>840056</v>
      </c>
      <c r="D59" s="271">
        <f>'Q2'!D59</f>
        <v>0</v>
      </c>
      <c r="E59" s="271">
        <f>'Q2'!E59</f>
        <v>0</v>
      </c>
      <c r="F59" s="271">
        <f>'Q2'!F59</f>
        <v>1567</v>
      </c>
      <c r="G59" s="271">
        <f>'Q2'!G59</f>
        <v>0</v>
      </c>
      <c r="H59" s="271">
        <f>'Q2'!H59</f>
        <v>0</v>
      </c>
      <c r="I59" s="271">
        <f>'Q2'!I59</f>
        <v>0</v>
      </c>
      <c r="J59" s="271">
        <f>'Q2'!J59</f>
        <v>393069</v>
      </c>
      <c r="K59" s="271">
        <f>'Q2'!K59</f>
        <v>0</v>
      </c>
      <c r="L59" s="271">
        <f>'Q2'!L59</f>
        <v>0</v>
      </c>
      <c r="M59" s="272">
        <f t="shared" si="23"/>
        <v>1234692</v>
      </c>
      <c r="N59" s="19">
        <f>'Q2'!M59-M59</f>
        <v>0</v>
      </c>
      <c r="O59" s="35"/>
    </row>
    <row r="60" spans="1:15" x14ac:dyDescent="0.25">
      <c r="B60" s="17" t="s">
        <v>185</v>
      </c>
      <c r="C60" s="39">
        <f>'Q2'!C60</f>
        <v>0</v>
      </c>
      <c r="D60" s="39">
        <f>'Q2'!D60</f>
        <v>48100</v>
      </c>
      <c r="E60" s="39">
        <f>'Q2'!E60</f>
        <v>0</v>
      </c>
      <c r="F60" s="39">
        <f>'Q2'!F60</f>
        <v>0</v>
      </c>
      <c r="G60" s="39">
        <f>'Q2'!G60</f>
        <v>0</v>
      </c>
      <c r="H60" s="39">
        <f>'Q2'!H60</f>
        <v>56000</v>
      </c>
      <c r="I60" s="39">
        <f>'Q2'!I60</f>
        <v>0</v>
      </c>
      <c r="J60" s="39">
        <f>'Q2'!J60</f>
        <v>0</v>
      </c>
      <c r="K60" s="39">
        <f>'Q2'!K60</f>
        <v>0</v>
      </c>
      <c r="L60" s="39">
        <f>'Q2'!L60</f>
        <v>326100</v>
      </c>
      <c r="M60" s="122">
        <f>SUM(C60:L60)</f>
        <v>430200</v>
      </c>
      <c r="N60" s="19">
        <f>'Q2'!M60-M60</f>
        <v>0</v>
      </c>
      <c r="O60" s="35"/>
    </row>
    <row r="61" spans="1:15" x14ac:dyDescent="0.25">
      <c r="B61" s="17" t="s">
        <v>79</v>
      </c>
      <c r="C61" s="39">
        <f>'Q2'!C61</f>
        <v>1043562</v>
      </c>
      <c r="D61" s="39">
        <f>'Q2'!D61</f>
        <v>0</v>
      </c>
      <c r="E61" s="39">
        <f>'Q2'!E61</f>
        <v>0</v>
      </c>
      <c r="F61" s="39">
        <f>'Q2'!F61</f>
        <v>0</v>
      </c>
      <c r="G61" s="39">
        <f>'Q2'!G61</f>
        <v>9140</v>
      </c>
      <c r="H61" s="39">
        <f>'Q2'!H61</f>
        <v>87036</v>
      </c>
      <c r="I61" s="39">
        <f>'Q2'!I61</f>
        <v>0</v>
      </c>
      <c r="J61" s="39">
        <f>'Q2'!J61</f>
        <v>0</v>
      </c>
      <c r="K61" s="39">
        <f>'Q2'!K61</f>
        <v>32813</v>
      </c>
      <c r="L61" s="39">
        <f>'Q2'!L61</f>
        <v>198930</v>
      </c>
      <c r="M61" s="122">
        <f t="shared" si="23"/>
        <v>1371481</v>
      </c>
      <c r="N61" s="19">
        <f>'Q2'!M61-M61</f>
        <v>0</v>
      </c>
      <c r="O61" s="35"/>
    </row>
    <row r="62" spans="1:15" x14ac:dyDescent="0.25">
      <c r="B62" s="17" t="s">
        <v>182</v>
      </c>
      <c r="C62" s="39">
        <f>'Q2'!C62</f>
        <v>374838</v>
      </c>
      <c r="D62" s="39">
        <f>'Q2'!D62</f>
        <v>301619</v>
      </c>
      <c r="E62" s="39">
        <f>'Q2'!E62</f>
        <v>26106</v>
      </c>
      <c r="F62" s="39">
        <f>'Q2'!F62</f>
        <v>0</v>
      </c>
      <c r="G62" s="39">
        <f>'Q2'!G62</f>
        <v>0</v>
      </c>
      <c r="H62" s="39">
        <f>'Q2'!H62</f>
        <v>0</v>
      </c>
      <c r="I62" s="39">
        <f>'Q2'!I62</f>
        <v>0</v>
      </c>
      <c r="J62" s="39">
        <f>'Q2'!J62</f>
        <v>0</v>
      </c>
      <c r="K62" s="39">
        <f>'Q2'!K62</f>
        <v>146025</v>
      </c>
      <c r="L62" s="39">
        <f>'Q2'!L62</f>
        <v>470051</v>
      </c>
      <c r="M62" s="122">
        <f t="shared" si="23"/>
        <v>1318639</v>
      </c>
      <c r="N62" s="19">
        <f>'Q2'!M62-M62</f>
        <v>0</v>
      </c>
      <c r="O62" s="35"/>
    </row>
    <row r="63" spans="1:15" x14ac:dyDescent="0.25">
      <c r="B63" s="37" t="s">
        <v>80</v>
      </c>
      <c r="C63" s="39">
        <f>'Q2'!C63</f>
        <v>381920</v>
      </c>
      <c r="D63" s="39">
        <f>'Q2'!D63</f>
        <v>76491</v>
      </c>
      <c r="E63" s="39">
        <f>'Q2'!E63</f>
        <v>28986</v>
      </c>
      <c r="F63" s="39">
        <f>'Q2'!F63</f>
        <v>139432</v>
      </c>
      <c r="G63" s="39">
        <f>'Q2'!G63</f>
        <v>16531</v>
      </c>
      <c r="H63" s="39">
        <f>'Q2'!H63</f>
        <v>122665</v>
      </c>
      <c r="I63" s="39">
        <f>'Q2'!I63</f>
        <v>0</v>
      </c>
      <c r="J63" s="39">
        <f>'Q2'!J63</f>
        <v>539092</v>
      </c>
      <c r="K63" s="39">
        <f>'Q2'!K63</f>
        <v>113969</v>
      </c>
      <c r="L63" s="39">
        <f>'Q2'!L63</f>
        <v>162721</v>
      </c>
      <c r="M63" s="122">
        <f>SUM(C63:L63)</f>
        <v>1581807</v>
      </c>
      <c r="N63" s="19">
        <f>'Q2'!M63-M63</f>
        <v>0</v>
      </c>
      <c r="O63" s="35"/>
    </row>
    <row r="64" spans="1:15" ht="13.5" customHeight="1" x14ac:dyDescent="0.25">
      <c r="B64" s="17" t="s">
        <v>32</v>
      </c>
      <c r="C64" s="39">
        <f>'Q2'!C64</f>
        <v>137150</v>
      </c>
      <c r="D64" s="39">
        <f>'Q2'!D64</f>
        <v>0</v>
      </c>
      <c r="E64" s="39">
        <f>'Q2'!E64</f>
        <v>21668</v>
      </c>
      <c r="F64" s="39">
        <f>'Q2'!F64</f>
        <v>0</v>
      </c>
      <c r="G64" s="39">
        <f>'Q2'!G64</f>
        <v>7500</v>
      </c>
      <c r="H64" s="39">
        <f>'Q2'!H64</f>
        <v>0</v>
      </c>
      <c r="I64" s="39">
        <f>'Q2'!I64</f>
        <v>0</v>
      </c>
      <c r="J64" s="39">
        <f>'Q2'!J64</f>
        <v>0</v>
      </c>
      <c r="K64" s="39">
        <f>'Q2'!K64</f>
        <v>86045</v>
      </c>
      <c r="L64" s="39">
        <f>'Q2'!L64</f>
        <v>0</v>
      </c>
      <c r="M64" s="122">
        <f t="shared" si="23"/>
        <v>252363</v>
      </c>
      <c r="N64" s="19">
        <f>'Q2'!M64-M64</f>
        <v>0</v>
      </c>
      <c r="O64" s="35"/>
    </row>
    <row r="65" spans="2:15" x14ac:dyDescent="0.25">
      <c r="B65" s="37" t="s">
        <v>179</v>
      </c>
      <c r="C65" s="39">
        <f>'Q2'!C65</f>
        <v>0</v>
      </c>
      <c r="D65" s="39">
        <f>'Q2'!D65</f>
        <v>0</v>
      </c>
      <c r="E65" s="39">
        <f>'Q2'!E65</f>
        <v>0</v>
      </c>
      <c r="F65" s="39">
        <f>'Q2'!F65</f>
        <v>0</v>
      </c>
      <c r="G65" s="39">
        <f>'Q2'!G65</f>
        <v>0</v>
      </c>
      <c r="H65" s="39">
        <f>'Q2'!H65</f>
        <v>0</v>
      </c>
      <c r="I65" s="39">
        <f>'Q2'!I65</f>
        <v>0</v>
      </c>
      <c r="J65" s="39">
        <f>'Q2'!J65</f>
        <v>0</v>
      </c>
      <c r="K65" s="39">
        <f>'Q2'!K65</f>
        <v>0</v>
      </c>
      <c r="L65" s="39">
        <f>'Q2'!L65</f>
        <v>0</v>
      </c>
      <c r="M65" s="122">
        <f t="shared" si="23"/>
        <v>0</v>
      </c>
      <c r="N65" s="19">
        <f>'Q2'!M65-M65</f>
        <v>0</v>
      </c>
      <c r="O65" s="35"/>
    </row>
    <row r="66" spans="2:15" x14ac:dyDescent="0.25">
      <c r="B66" s="32" t="s">
        <v>33</v>
      </c>
      <c r="C66" s="55">
        <f>SUM(C60:C65)+C57</f>
        <v>2777526</v>
      </c>
      <c r="D66" s="55">
        <f t="shared" ref="D66:M66" si="24">SUM(D60:D65)+D57</f>
        <v>643811</v>
      </c>
      <c r="E66" s="55">
        <f t="shared" si="24"/>
        <v>311990</v>
      </c>
      <c r="F66" s="55">
        <f t="shared" si="24"/>
        <v>1110930</v>
      </c>
      <c r="G66" s="55">
        <f t="shared" si="24"/>
        <v>272191</v>
      </c>
      <c r="H66" s="55">
        <f t="shared" si="24"/>
        <v>1199365</v>
      </c>
      <c r="I66" s="55">
        <f t="shared" si="24"/>
        <v>0</v>
      </c>
      <c r="J66" s="55">
        <f t="shared" si="24"/>
        <v>3127958</v>
      </c>
      <c r="K66" s="55">
        <f t="shared" si="24"/>
        <v>431371</v>
      </c>
      <c r="L66" s="55">
        <f t="shared" si="24"/>
        <v>3308274</v>
      </c>
      <c r="M66" s="134">
        <f t="shared" si="24"/>
        <v>13183416</v>
      </c>
      <c r="N66" s="19">
        <f>'Q2'!M66-M66</f>
        <v>0</v>
      </c>
      <c r="O66" s="35"/>
    </row>
    <row r="67" spans="2:15" x14ac:dyDescent="0.25">
      <c r="B67" s="17"/>
      <c r="M67" s="122">
        <f t="shared" ref="M67:M74" si="25">SUM(C67:L67)</f>
        <v>0</v>
      </c>
      <c r="N67" s="19">
        <f>'Q2'!M67-M67</f>
        <v>0</v>
      </c>
    </row>
    <row r="68" spans="2:15" x14ac:dyDescent="0.25">
      <c r="B68" s="17" t="s">
        <v>34</v>
      </c>
      <c r="C68" s="39">
        <f>'Q2'!C68</f>
        <v>2425</v>
      </c>
      <c r="D68" s="39">
        <f>'Q2'!D68</f>
        <v>35691</v>
      </c>
      <c r="E68" s="39">
        <f>'Q2'!E68</f>
        <v>123771</v>
      </c>
      <c r="F68" s="39">
        <f>'Q2'!F68</f>
        <v>40000</v>
      </c>
      <c r="G68" s="39">
        <f>'Q2'!G68</f>
        <v>4000</v>
      </c>
      <c r="H68" s="39">
        <f>'Q2'!H68</f>
        <v>15000</v>
      </c>
      <c r="I68" s="39">
        <f>'Q2'!I68</f>
        <v>0</v>
      </c>
      <c r="J68" s="39">
        <f>'Q2'!J68</f>
        <v>1038383</v>
      </c>
      <c r="K68" s="39">
        <f>'Q2'!K68</f>
        <v>49838</v>
      </c>
      <c r="L68" s="39">
        <f>'Q2'!L68</f>
        <v>191678</v>
      </c>
      <c r="M68" s="122">
        <f t="shared" si="25"/>
        <v>1500786</v>
      </c>
      <c r="N68" s="19">
        <f>'Q2'!M68-M68</f>
        <v>0</v>
      </c>
      <c r="O68" s="35"/>
    </row>
    <row r="69" spans="2:15" x14ac:dyDescent="0.25">
      <c r="B69" s="17" t="s">
        <v>35</v>
      </c>
      <c r="C69" s="39">
        <f>'Q2'!C69</f>
        <v>0</v>
      </c>
      <c r="D69" s="39">
        <f>'Q2'!D69</f>
        <v>0</v>
      </c>
      <c r="E69" s="39">
        <f>'Q2'!E69</f>
        <v>0</v>
      </c>
      <c r="F69" s="39">
        <f>'Q2'!F69</f>
        <v>0</v>
      </c>
      <c r="G69" s="39">
        <f>'Q2'!G69</f>
        <v>0</v>
      </c>
      <c r="H69" s="39">
        <f>'Q2'!H69</f>
        <v>0</v>
      </c>
      <c r="I69" s="39">
        <f>'Q2'!I69</f>
        <v>0</v>
      </c>
      <c r="J69" s="39">
        <f>'Q2'!J69</f>
        <v>0</v>
      </c>
      <c r="K69" s="39">
        <f>'Q2'!K69</f>
        <v>0</v>
      </c>
      <c r="L69" s="39">
        <f>'Q2'!L69</f>
        <v>0</v>
      </c>
      <c r="M69" s="122">
        <f t="shared" si="25"/>
        <v>0</v>
      </c>
      <c r="N69" s="19">
        <f>'Q2'!M69-M69</f>
        <v>0</v>
      </c>
      <c r="O69" s="35"/>
    </row>
    <row r="70" spans="2:15" x14ac:dyDescent="0.25">
      <c r="B70" s="17" t="s">
        <v>36</v>
      </c>
      <c r="C70" s="39">
        <f>'Q2'!C70</f>
        <v>0</v>
      </c>
      <c r="D70" s="39">
        <f>'Q2'!D70</f>
        <v>2824</v>
      </c>
      <c r="E70" s="39">
        <f>'Q2'!E70</f>
        <v>0</v>
      </c>
      <c r="F70" s="39">
        <f>'Q2'!F70</f>
        <v>22764</v>
      </c>
      <c r="G70" s="39">
        <f>'Q2'!G70</f>
        <v>10000</v>
      </c>
      <c r="H70" s="39">
        <f>'Q2'!H70</f>
        <v>0</v>
      </c>
      <c r="I70" s="39">
        <f>'Q2'!I70</f>
        <v>0</v>
      </c>
      <c r="J70" s="39">
        <f>'Q2'!J70</f>
        <v>-467182</v>
      </c>
      <c r="K70" s="39">
        <f>'Q2'!K70</f>
        <v>110426</v>
      </c>
      <c r="L70" s="39">
        <f>'Q2'!L70</f>
        <v>0</v>
      </c>
      <c r="M70" s="122">
        <f t="shared" si="25"/>
        <v>-321168</v>
      </c>
      <c r="N70" s="19">
        <f>'Q2'!M70-M70</f>
        <v>0</v>
      </c>
      <c r="O70" s="35"/>
    </row>
    <row r="71" spans="2:15" x14ac:dyDescent="0.25">
      <c r="B71" s="17" t="s">
        <v>184</v>
      </c>
      <c r="C71" s="39">
        <f>'Q2'!C71</f>
        <v>-318</v>
      </c>
      <c r="D71" s="39">
        <f>'Q2'!D71</f>
        <v>0</v>
      </c>
      <c r="E71" s="39">
        <f>'Q2'!E71</f>
        <v>0</v>
      </c>
      <c r="F71" s="39">
        <f>'Q2'!F71</f>
        <v>0</v>
      </c>
      <c r="G71" s="39">
        <f>'Q2'!G71</f>
        <v>63743</v>
      </c>
      <c r="H71" s="39">
        <f>'Q2'!H71</f>
        <v>0</v>
      </c>
      <c r="I71" s="39">
        <f>'Q2'!I71</f>
        <v>0</v>
      </c>
      <c r="J71" s="39">
        <f>'Q2'!J71</f>
        <v>38096</v>
      </c>
      <c r="K71" s="39">
        <f>'Q2'!K71</f>
        <v>0</v>
      </c>
      <c r="L71" s="39">
        <f>'Q2'!L71</f>
        <v>0</v>
      </c>
      <c r="M71" s="122">
        <f t="shared" si="25"/>
        <v>101521</v>
      </c>
      <c r="N71" s="19">
        <f>'Q2'!M71-M71</f>
        <v>0</v>
      </c>
      <c r="O71" s="35"/>
    </row>
    <row r="72" spans="2:15" x14ac:dyDescent="0.25">
      <c r="B72" s="17" t="s">
        <v>180</v>
      </c>
      <c r="C72" s="39">
        <f>'Q2'!C72</f>
        <v>-212240</v>
      </c>
      <c r="D72" s="39">
        <f>'Q2'!D72</f>
        <v>55140</v>
      </c>
      <c r="E72" s="39">
        <f>'Q2'!E72</f>
        <v>0</v>
      </c>
      <c r="F72" s="39">
        <f>'Q2'!F72</f>
        <v>0</v>
      </c>
      <c r="G72" s="39">
        <f>'Q2'!G72</f>
        <v>888</v>
      </c>
      <c r="H72" s="39">
        <f>'Q2'!H72</f>
        <v>0</v>
      </c>
      <c r="I72" s="39">
        <f>'Q2'!I72</f>
        <v>0</v>
      </c>
      <c r="J72" s="39">
        <f>'Q2'!J72</f>
        <v>0</v>
      </c>
      <c r="K72" s="39">
        <f>'Q2'!K72</f>
        <v>0</v>
      </c>
      <c r="L72" s="39">
        <f>'Q2'!L72</f>
        <v>68238</v>
      </c>
      <c r="M72" s="122">
        <f t="shared" si="25"/>
        <v>-87974</v>
      </c>
      <c r="N72" s="19">
        <f>'Q2'!M72-M72</f>
        <v>0</v>
      </c>
      <c r="O72" s="35"/>
    </row>
    <row r="73" spans="2:15" x14ac:dyDescent="0.25">
      <c r="B73" s="17" t="s">
        <v>181</v>
      </c>
      <c r="C73" s="39">
        <f>'Q2'!C73</f>
        <v>0</v>
      </c>
      <c r="D73" s="39">
        <f>'Q2'!D73</f>
        <v>0</v>
      </c>
      <c r="E73" s="39">
        <f>'Q2'!E73</f>
        <v>0</v>
      </c>
      <c r="F73" s="39">
        <f>'Q2'!F73</f>
        <v>0</v>
      </c>
      <c r="G73" s="39">
        <f>'Q2'!G73</f>
        <v>0</v>
      </c>
      <c r="H73" s="39">
        <f>'Q2'!H73</f>
        <v>0</v>
      </c>
      <c r="I73" s="39">
        <f>'Q2'!I73</f>
        <v>0</v>
      </c>
      <c r="J73" s="39">
        <f>'Q2'!J73</f>
        <v>0</v>
      </c>
      <c r="K73" s="39">
        <f>'Q2'!K73</f>
        <v>0</v>
      </c>
      <c r="L73" s="39">
        <f>'Q2'!L73</f>
        <v>0</v>
      </c>
      <c r="M73" s="122">
        <f t="shared" si="25"/>
        <v>0</v>
      </c>
      <c r="N73" s="19">
        <f>'Q2'!M73-M73</f>
        <v>0</v>
      </c>
      <c r="O73" s="35"/>
    </row>
    <row r="74" spans="2:15" x14ac:dyDescent="0.25">
      <c r="B74" s="17" t="s">
        <v>37</v>
      </c>
      <c r="C74" s="39">
        <f>'Q2'!C74</f>
        <v>2168790</v>
      </c>
      <c r="D74" s="39">
        <f>'Q2'!D74</f>
        <v>107264</v>
      </c>
      <c r="E74" s="39">
        <f>'Q2'!E74</f>
        <v>-65787</v>
      </c>
      <c r="F74" s="39">
        <f>'Q2'!F74</f>
        <v>198851</v>
      </c>
      <c r="G74" s="39">
        <f>'Q2'!G74</f>
        <v>-104501</v>
      </c>
      <c r="H74" s="39">
        <f>'Q2'!H74</f>
        <v>585004</v>
      </c>
      <c r="I74" s="39">
        <f>'Q2'!I74</f>
        <v>0</v>
      </c>
      <c r="J74" s="39">
        <f>'Q2'!J74</f>
        <v>0</v>
      </c>
      <c r="K74" s="39">
        <f>'Q2'!K74</f>
        <v>-38754</v>
      </c>
      <c r="L74" s="39">
        <f>'Q2'!L74</f>
        <v>1154186</v>
      </c>
      <c r="M74" s="122">
        <f t="shared" si="25"/>
        <v>4005053</v>
      </c>
      <c r="N74" s="19">
        <f>'Q2'!M74-M74</f>
        <v>0</v>
      </c>
      <c r="O74" s="35"/>
    </row>
    <row r="75" spans="2:15" ht="11.25" customHeight="1" x14ac:dyDescent="0.25">
      <c r="B75" s="23"/>
      <c r="C75" s="60"/>
      <c r="D75" s="19"/>
      <c r="E75" s="60"/>
      <c r="F75" s="60"/>
      <c r="G75" s="60"/>
      <c r="H75" s="60"/>
      <c r="I75" s="19"/>
      <c r="J75" s="19"/>
      <c r="K75" s="19"/>
      <c r="L75" s="19"/>
      <c r="M75" s="122">
        <f t="shared" ref="M75" si="26">C75+D75+E75+G75+H75+I75+K75+L75</f>
        <v>0</v>
      </c>
      <c r="N75" s="19">
        <f>'Q2'!M75-M75</f>
        <v>0</v>
      </c>
      <c r="O75" s="35"/>
    </row>
    <row r="76" spans="2:15" x14ac:dyDescent="0.25">
      <c r="B76" s="40" t="s">
        <v>38</v>
      </c>
      <c r="C76" s="61">
        <f t="shared" ref="C76:M76" si="27">SUM(C68:C74)</f>
        <v>1958657</v>
      </c>
      <c r="D76" s="61">
        <f t="shared" si="27"/>
        <v>200919</v>
      </c>
      <c r="E76" s="61">
        <f t="shared" si="27"/>
        <v>57984</v>
      </c>
      <c r="F76" s="61">
        <f t="shared" si="27"/>
        <v>261615</v>
      </c>
      <c r="G76" s="61">
        <f t="shared" si="27"/>
        <v>-25870</v>
      </c>
      <c r="H76" s="61">
        <f t="shared" si="27"/>
        <v>600004</v>
      </c>
      <c r="I76" s="61">
        <f t="shared" si="27"/>
        <v>0</v>
      </c>
      <c r="J76" s="61">
        <f t="shared" si="27"/>
        <v>609297</v>
      </c>
      <c r="K76" s="61">
        <f t="shared" si="27"/>
        <v>121510</v>
      </c>
      <c r="L76" s="61">
        <f t="shared" si="27"/>
        <v>1414102</v>
      </c>
      <c r="M76" s="135">
        <f t="shared" si="27"/>
        <v>5198218</v>
      </c>
      <c r="N76" s="19">
        <f>'Q2'!M76-M76</f>
        <v>0</v>
      </c>
      <c r="O76" s="35"/>
    </row>
    <row r="77" spans="2:15" x14ac:dyDescent="0.25">
      <c r="B77" s="17"/>
      <c r="D77" s="19"/>
      <c r="I77" s="19"/>
      <c r="J77" s="19"/>
      <c r="K77" s="19"/>
      <c r="L77" s="19"/>
      <c r="M77" s="121"/>
      <c r="N77" s="19">
        <f>'Q2'!M77-M77</f>
        <v>0</v>
      </c>
    </row>
    <row r="78" spans="2:15" ht="13.5" thickBot="1" x14ac:dyDescent="0.3">
      <c r="B78" s="32" t="s">
        <v>39</v>
      </c>
      <c r="C78" s="62">
        <f t="shared" ref="C78:M78" si="28">C66+C76</f>
        <v>4736183</v>
      </c>
      <c r="D78" s="62">
        <f t="shared" si="28"/>
        <v>844730</v>
      </c>
      <c r="E78" s="62">
        <f t="shared" si="28"/>
        <v>369974</v>
      </c>
      <c r="F78" s="62">
        <f t="shared" si="28"/>
        <v>1372545</v>
      </c>
      <c r="G78" s="62">
        <f t="shared" si="28"/>
        <v>246321</v>
      </c>
      <c r="H78" s="62">
        <f t="shared" si="28"/>
        <v>1799369</v>
      </c>
      <c r="I78" s="62">
        <f t="shared" si="28"/>
        <v>0</v>
      </c>
      <c r="J78" s="62">
        <f t="shared" si="28"/>
        <v>3737255</v>
      </c>
      <c r="K78" s="62">
        <f t="shared" si="28"/>
        <v>552881</v>
      </c>
      <c r="L78" s="62">
        <f t="shared" si="28"/>
        <v>4722376</v>
      </c>
      <c r="M78" s="136">
        <f t="shared" si="28"/>
        <v>18381634</v>
      </c>
      <c r="N78" s="19">
        <f>'Q2'!M78-M78</f>
        <v>0</v>
      </c>
      <c r="O78" s="35"/>
    </row>
    <row r="79" spans="2:15" ht="13.5" thickTop="1" x14ac:dyDescent="0.25">
      <c r="B79" s="17"/>
      <c r="C79" s="297">
        <f t="shared" ref="C79:M79" si="29">C54-C78</f>
        <v>0</v>
      </c>
      <c r="D79" s="297">
        <f t="shared" si="29"/>
        <v>0</v>
      </c>
      <c r="E79" s="297">
        <f t="shared" si="29"/>
        <v>0</v>
      </c>
      <c r="F79" s="297">
        <f t="shared" si="29"/>
        <v>0</v>
      </c>
      <c r="G79" s="297">
        <f t="shared" si="29"/>
        <v>0</v>
      </c>
      <c r="H79" s="297">
        <f t="shared" si="29"/>
        <v>0</v>
      </c>
      <c r="I79" s="297">
        <f t="shared" si="29"/>
        <v>0</v>
      </c>
      <c r="J79" s="297">
        <f t="shared" si="29"/>
        <v>0</v>
      </c>
      <c r="K79" s="297">
        <f t="shared" si="29"/>
        <v>0</v>
      </c>
      <c r="L79" s="297">
        <f t="shared" si="29"/>
        <v>0</v>
      </c>
      <c r="M79" s="137">
        <f t="shared" si="29"/>
        <v>0</v>
      </c>
      <c r="N79" s="19">
        <f>'Q2'!M79-M79</f>
        <v>0</v>
      </c>
    </row>
    <row r="80" spans="2:15" x14ac:dyDescent="0.25">
      <c r="B80" s="17" t="s">
        <v>40</v>
      </c>
      <c r="C80" s="39">
        <f>'Q2'!C80</f>
        <v>0</v>
      </c>
      <c r="D80" s="39">
        <f>'Q2'!D80</f>
        <v>0</v>
      </c>
      <c r="E80" s="39">
        <f>'Q2'!E80</f>
        <v>0</v>
      </c>
      <c r="F80" s="39">
        <f>'Q2'!F80</f>
        <v>0</v>
      </c>
      <c r="G80" s="39">
        <f>'Q2'!G80</f>
        <v>0</v>
      </c>
      <c r="H80" s="39">
        <f>'Q2'!H80</f>
        <v>0</v>
      </c>
      <c r="I80" s="39">
        <f>'Q2'!I80</f>
        <v>0</v>
      </c>
      <c r="J80" s="39">
        <f>'Q2'!J80</f>
        <v>0</v>
      </c>
      <c r="K80" s="39">
        <f>'Q2'!K80</f>
        <v>0</v>
      </c>
      <c r="L80" s="39">
        <f>'Q2'!L80</f>
        <v>0</v>
      </c>
      <c r="M80" s="122">
        <f>SUM(C80:L80)</f>
        <v>0</v>
      </c>
      <c r="N80" s="19">
        <f>'Q2'!M80-M80</f>
        <v>0</v>
      </c>
    </row>
    <row r="81" spans="2:15" x14ac:dyDescent="0.25">
      <c r="B81" s="17" t="s">
        <v>41</v>
      </c>
      <c r="C81" s="39">
        <f>'Q2'!C81</f>
        <v>0</v>
      </c>
      <c r="D81" s="39">
        <f>'Q2'!D81</f>
        <v>0</v>
      </c>
      <c r="E81" s="39">
        <f>'Q2'!E81</f>
        <v>0</v>
      </c>
      <c r="F81" s="39">
        <f>'Q2'!F81</f>
        <v>0</v>
      </c>
      <c r="G81" s="39">
        <f>'Q2'!G81</f>
        <v>0</v>
      </c>
      <c r="H81" s="39">
        <f>'Q2'!H81</f>
        <v>0</v>
      </c>
      <c r="I81" s="39">
        <f>'Q2'!I81</f>
        <v>0</v>
      </c>
      <c r="J81" s="39">
        <f>'Q2'!J81</f>
        <v>0</v>
      </c>
      <c r="K81" s="39">
        <f>'Q2'!K81</f>
        <v>0</v>
      </c>
      <c r="L81" s="39">
        <f>'Q2'!L81</f>
        <v>0</v>
      </c>
      <c r="M81" s="122">
        <f>SUM(C81:L81)</f>
        <v>0</v>
      </c>
      <c r="N81" s="19">
        <f>'Q2'!M81-M81</f>
        <v>0</v>
      </c>
    </row>
    <row r="82" spans="2:15" ht="13.5" thickBot="1" x14ac:dyDescent="0.3">
      <c r="B82" s="40" t="s">
        <v>42</v>
      </c>
      <c r="C82" s="66">
        <f t="shared" ref="C82:M82" si="30">SUM(C80:C81)</f>
        <v>0</v>
      </c>
      <c r="D82" s="66">
        <f t="shared" si="30"/>
        <v>0</v>
      </c>
      <c r="E82" s="67">
        <f t="shared" si="30"/>
        <v>0</v>
      </c>
      <c r="F82" s="67">
        <f t="shared" si="30"/>
        <v>0</v>
      </c>
      <c r="G82" s="67">
        <f t="shared" si="30"/>
        <v>0</v>
      </c>
      <c r="H82" s="67">
        <f t="shared" si="30"/>
        <v>0</v>
      </c>
      <c r="I82" s="67">
        <f t="shared" si="30"/>
        <v>0</v>
      </c>
      <c r="J82" s="67"/>
      <c r="K82" s="67">
        <f t="shared" si="30"/>
        <v>0</v>
      </c>
      <c r="L82" s="67">
        <f t="shared" si="30"/>
        <v>0</v>
      </c>
      <c r="M82" s="138">
        <f t="shared" si="30"/>
        <v>0</v>
      </c>
      <c r="N82" s="19">
        <f>'Q2'!M82-M82</f>
        <v>0</v>
      </c>
    </row>
    <row r="83" spans="2:15" ht="13.5" hidden="1" thickTop="1" x14ac:dyDescent="0.25">
      <c r="B83" s="40" t="s">
        <v>43</v>
      </c>
      <c r="C83" s="65"/>
      <c r="D83" s="20"/>
      <c r="E83" s="65"/>
      <c r="F83" s="65"/>
      <c r="G83" s="65"/>
      <c r="H83" s="22"/>
      <c r="I83" s="20"/>
      <c r="J83" s="20"/>
      <c r="K83" s="20"/>
      <c r="L83" s="20"/>
      <c r="M83" s="123" t="e">
        <f>C83+D83+E83+G83+H83+I83+#REF!+K83+L83+#REF!+#REF!+#REF!+#REF!+#REF!+#REF!+#REF!+#REF!</f>
        <v>#REF!</v>
      </c>
      <c r="N83" s="19" t="e">
        <f>'Q2'!M83-M83</f>
        <v>#REF!</v>
      </c>
    </row>
    <row r="84" spans="2:15" ht="13.5" hidden="1" thickTop="1" x14ac:dyDescent="0.25">
      <c r="B84" s="40" t="s">
        <v>44</v>
      </c>
      <c r="C84" s="65"/>
      <c r="D84" s="20"/>
      <c r="E84" s="65"/>
      <c r="F84" s="65"/>
      <c r="G84" s="65"/>
      <c r="H84" s="65"/>
      <c r="I84" s="20"/>
      <c r="J84" s="20"/>
      <c r="K84" s="20"/>
      <c r="L84" s="20"/>
      <c r="M84" s="123" t="e">
        <f>C84+D84+E84+G84+H84+I84+#REF!+K84+L84+#REF!+#REF!+#REF!+#REF!+#REF!+#REF!+#REF!+#REF!</f>
        <v>#REF!</v>
      </c>
      <c r="N84" s="19" t="e">
        <f>'Q2'!M84-M84</f>
        <v>#REF!</v>
      </c>
    </row>
    <row r="85" spans="2:15" ht="13.5" hidden="1" thickTop="1" x14ac:dyDescent="0.25">
      <c r="B85" s="40" t="s">
        <v>45</v>
      </c>
      <c r="C85" s="20">
        <f t="shared" ref="C85:M85" si="31">SUM(C86:C87)</f>
        <v>0</v>
      </c>
      <c r="D85" s="20">
        <f t="shared" si="31"/>
        <v>0</v>
      </c>
      <c r="E85" s="20">
        <f t="shared" si="31"/>
        <v>0</v>
      </c>
      <c r="F85" s="20"/>
      <c r="G85" s="20">
        <f t="shared" si="31"/>
        <v>0</v>
      </c>
      <c r="H85" s="20">
        <f t="shared" si="31"/>
        <v>0</v>
      </c>
      <c r="I85" s="20">
        <f t="shared" si="31"/>
        <v>0</v>
      </c>
      <c r="J85" s="20"/>
      <c r="K85" s="20">
        <f t="shared" si="31"/>
        <v>0</v>
      </c>
      <c r="L85" s="20">
        <f t="shared" si="31"/>
        <v>0</v>
      </c>
      <c r="M85" s="123" t="e">
        <f t="shared" si="31"/>
        <v>#REF!</v>
      </c>
      <c r="N85" s="19" t="e">
        <f>'Q2'!M85-M85</f>
        <v>#REF!</v>
      </c>
    </row>
    <row r="86" spans="2:15" ht="13.5" hidden="1" thickTop="1" x14ac:dyDescent="0.25">
      <c r="B86" s="68" t="s">
        <v>46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139" t="e">
        <f>C86+D86+E86+G86+H86+I86+#REF!+K86+L86+#REF!+#REF!+#REF!+#REF!+#REF!+#REF!+#REF!+#REF!</f>
        <v>#REF!</v>
      </c>
      <c r="N86" s="19" t="e">
        <f>'Q2'!M86-M86</f>
        <v>#REF!</v>
      </c>
    </row>
    <row r="87" spans="2:15" ht="13.5" hidden="1" thickTop="1" x14ac:dyDescent="0.25">
      <c r="B87" s="68" t="s">
        <v>47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140" t="e">
        <f>C87+D87+E87+G87+H87+I87+#REF!+K87+L87+#REF!+#REF!+#REF!+#REF!+#REF!+#REF!+#REF!+#REF!</f>
        <v>#REF!</v>
      </c>
      <c r="N87" s="19" t="e">
        <f>'Q2'!M87-M87</f>
        <v>#REF!</v>
      </c>
    </row>
    <row r="88" spans="2:15" ht="13.5" hidden="1" thickTop="1" x14ac:dyDescent="0.25">
      <c r="B88" s="68" t="s">
        <v>48</v>
      </c>
      <c r="C88" s="65"/>
      <c r="D88" s="20"/>
      <c r="E88" s="65"/>
      <c r="F88" s="65"/>
      <c r="G88" s="65">
        <v>0</v>
      </c>
      <c r="H88" s="65"/>
      <c r="I88" s="20"/>
      <c r="J88" s="20"/>
      <c r="K88" s="20"/>
      <c r="L88" s="20"/>
      <c r="M88" s="123"/>
      <c r="N88" s="19">
        <f>'Q2'!M88-M88</f>
        <v>0</v>
      </c>
    </row>
    <row r="89" spans="2:15" ht="13.5" hidden="1" thickTop="1" x14ac:dyDescent="0.25">
      <c r="B89" s="71" t="s">
        <v>49</v>
      </c>
      <c r="C89" s="65"/>
      <c r="D89" s="20"/>
      <c r="E89" s="65"/>
      <c r="F89" s="65"/>
      <c r="G89" s="65"/>
      <c r="H89" s="65"/>
      <c r="I89" s="20"/>
      <c r="J89" s="20"/>
      <c r="K89" s="20"/>
      <c r="L89" s="20"/>
      <c r="M89" s="123"/>
      <c r="N89" s="19">
        <f>'Q2'!M89-M89</f>
        <v>0</v>
      </c>
    </row>
    <row r="90" spans="2:15" ht="13.5" hidden="1" thickTop="1" x14ac:dyDescent="0.25">
      <c r="B90" s="3" t="s">
        <v>50</v>
      </c>
      <c r="D90" s="20"/>
      <c r="I90" s="20"/>
      <c r="J90" s="20"/>
      <c r="K90" s="20"/>
      <c r="L90" s="20"/>
      <c r="M90" s="123"/>
      <c r="N90" s="19">
        <f>'Q2'!M90-M90</f>
        <v>0</v>
      </c>
    </row>
    <row r="91" spans="2:15" ht="13.5" hidden="1" thickTop="1" x14ac:dyDescent="0.25">
      <c r="B91" s="72" t="s">
        <v>51</v>
      </c>
      <c r="C91" s="73"/>
      <c r="D91" s="73"/>
      <c r="E91" s="73"/>
      <c r="F91" s="73"/>
      <c r="G91" s="73"/>
      <c r="H91" s="73"/>
      <c r="I91" s="72"/>
      <c r="J91" s="72"/>
      <c r="K91" s="74"/>
      <c r="L91" s="73"/>
      <c r="M91" s="124" t="e">
        <f>C91+D91+E91+G91+H91+I91+#REF!+K91+L91+#REF!+#REF!+#REF!+#REF!+#REF!+#REF!+#REF!+#REF!</f>
        <v>#REF!</v>
      </c>
      <c r="N91" s="19" t="e">
        <f>'Q2'!M91-M91</f>
        <v>#REF!</v>
      </c>
    </row>
    <row r="92" spans="2:15" ht="13.5" hidden="1" thickTop="1" x14ac:dyDescent="0.25">
      <c r="N92" s="19">
        <f>'Q2'!M92-M92</f>
        <v>0</v>
      </c>
    </row>
    <row r="93" spans="2:15" ht="13.5" thickTop="1" x14ac:dyDescent="0.25">
      <c r="B93" s="56"/>
      <c r="C93" s="56"/>
      <c r="D93" s="75"/>
      <c r="E93" s="56"/>
      <c r="F93" s="56"/>
      <c r="G93" s="56"/>
      <c r="H93" s="56"/>
      <c r="I93" s="75"/>
      <c r="J93" s="75"/>
      <c r="K93" s="75"/>
      <c r="L93" s="75"/>
      <c r="M93" s="141"/>
      <c r="N93" s="19">
        <f>'Q2'!M93-M93</f>
        <v>0</v>
      </c>
    </row>
    <row r="94" spans="2:15" x14ac:dyDescent="0.25">
      <c r="B94" s="10" t="s">
        <v>52</v>
      </c>
      <c r="C94" s="10"/>
      <c r="D94" s="77"/>
      <c r="E94" s="10"/>
      <c r="F94" s="10"/>
      <c r="G94" s="10"/>
      <c r="H94" s="10"/>
      <c r="I94" s="77"/>
      <c r="J94" s="77"/>
      <c r="K94" s="77"/>
      <c r="L94" s="77"/>
      <c r="M94" s="142"/>
      <c r="N94" s="19">
        <f>'Q2'!M94-M94</f>
        <v>0</v>
      </c>
    </row>
    <row r="95" spans="2:15" x14ac:dyDescent="0.25">
      <c r="B95" s="56" t="s">
        <v>53</v>
      </c>
      <c r="C95" s="39">
        <f>'Q2'!C95</f>
        <v>5697185</v>
      </c>
      <c r="D95" s="39">
        <f>'Q2'!D95</f>
        <v>429971</v>
      </c>
      <c r="E95" s="39">
        <f>'Q2'!E95</f>
        <v>399994</v>
      </c>
      <c r="F95" s="39">
        <f>'Q2'!F95</f>
        <v>890686</v>
      </c>
      <c r="G95" s="39">
        <f>'Q2'!G95</f>
        <v>234212</v>
      </c>
      <c r="H95" s="39">
        <f>'Q2'!H95</f>
        <v>1897503</v>
      </c>
      <c r="I95" s="39">
        <f>'Q2'!I95</f>
        <v>0</v>
      </c>
      <c r="J95" s="39">
        <f>'Q2'!J95</f>
        <v>2491964</v>
      </c>
      <c r="K95" s="39">
        <f>'Q2'!K95</f>
        <v>680424</v>
      </c>
      <c r="L95" s="39">
        <f>'Q2'!L95</f>
        <v>3380819</v>
      </c>
      <c r="M95" s="122">
        <f>SUM(C95:L95)</f>
        <v>16102758</v>
      </c>
      <c r="N95" s="19">
        <f>'Q2'!M95-M95</f>
        <v>0</v>
      </c>
      <c r="O95" s="35"/>
    </row>
    <row r="96" spans="2:15" x14ac:dyDescent="0.25">
      <c r="B96" s="52"/>
      <c r="C96" s="52"/>
      <c r="D96" s="79"/>
      <c r="E96" s="52"/>
      <c r="F96" s="52"/>
      <c r="G96" s="52"/>
      <c r="H96" s="52"/>
      <c r="I96" s="81"/>
      <c r="J96" s="81"/>
      <c r="K96" s="81"/>
      <c r="L96" s="81"/>
      <c r="M96" s="143"/>
      <c r="N96" s="19">
        <f>'Q2'!M96-M96</f>
        <v>0</v>
      </c>
    </row>
    <row r="97" spans="2:15" ht="13.5" thickBot="1" x14ac:dyDescent="0.3">
      <c r="B97" s="82" t="s">
        <v>54</v>
      </c>
      <c r="C97" s="83"/>
      <c r="D97" s="84"/>
      <c r="E97" s="83"/>
      <c r="F97" s="83"/>
      <c r="G97" s="83"/>
      <c r="H97" s="83"/>
      <c r="I97" s="84"/>
      <c r="J97" s="84"/>
      <c r="K97" s="84"/>
      <c r="L97" s="84"/>
      <c r="M97" s="144"/>
      <c r="N97" s="19">
        <f>'Q2'!M97-M97</f>
        <v>0</v>
      </c>
    </row>
    <row r="98" spans="2:15" x14ac:dyDescent="0.25">
      <c r="B98" s="85" t="s">
        <v>55</v>
      </c>
      <c r="C98" s="39">
        <f>'Q2'!C98</f>
        <v>1885524</v>
      </c>
      <c r="D98" s="39">
        <f>'Q2'!D98</f>
        <v>199919</v>
      </c>
      <c r="E98" s="39">
        <f>'Q2'!E98</f>
        <v>44157</v>
      </c>
      <c r="F98" s="39">
        <f>'Q2'!F98</f>
        <v>261367</v>
      </c>
      <c r="G98" s="39">
        <f>'Q2'!G98</f>
        <v>89619</v>
      </c>
      <c r="H98" s="39">
        <f>'Q2'!H98</f>
        <v>580152</v>
      </c>
      <c r="I98" s="39">
        <f>'Q2'!I98</f>
        <v>0</v>
      </c>
      <c r="J98" s="39">
        <f>'Q2'!J98</f>
        <v>558185</v>
      </c>
      <c r="K98" s="39">
        <f>'Q2'!K98</f>
        <v>114418</v>
      </c>
      <c r="L98" s="39">
        <f>'Q2'!L98</f>
        <v>1331485</v>
      </c>
      <c r="M98" s="122">
        <f>SUM(C98:L98)</f>
        <v>5064826</v>
      </c>
      <c r="N98" s="19">
        <f>'Q2'!M98-M98</f>
        <v>0</v>
      </c>
      <c r="O98" s="35"/>
    </row>
    <row r="99" spans="2:15" ht="13.5" thickBot="1" x14ac:dyDescent="0.3">
      <c r="B99" s="87" t="s">
        <v>56</v>
      </c>
      <c r="C99" s="39">
        <f>'Q2'!C99</f>
        <v>0</v>
      </c>
      <c r="D99" s="39">
        <f>'Q2'!D99</f>
        <v>0</v>
      </c>
      <c r="E99" s="39">
        <f>'Q2'!E99</f>
        <v>0</v>
      </c>
      <c r="F99" s="39">
        <f>'Q2'!F99</f>
        <v>0</v>
      </c>
      <c r="G99" s="39">
        <f>'Q2'!G99</f>
        <v>0</v>
      </c>
      <c r="H99" s="39">
        <f>'Q2'!H99</f>
        <v>0</v>
      </c>
      <c r="I99" s="39">
        <f>'Q2'!I99</f>
        <v>0</v>
      </c>
      <c r="J99" s="39">
        <f>'Q2'!J99</f>
        <v>4466</v>
      </c>
      <c r="K99" s="39">
        <f>'Q2'!K99</f>
        <v>0</v>
      </c>
      <c r="L99" s="39">
        <f>'Q2'!L99</f>
        <v>26895</v>
      </c>
      <c r="M99" s="122">
        <f>SUM(C99:L99)</f>
        <v>31361</v>
      </c>
      <c r="N99" s="19">
        <f>'Q2'!M99-M99</f>
        <v>0</v>
      </c>
      <c r="O99" s="35"/>
    </row>
    <row r="100" spans="2:15" ht="13.5" thickBot="1" x14ac:dyDescent="0.3">
      <c r="B100" s="89" t="s">
        <v>57</v>
      </c>
      <c r="C100" s="90">
        <f t="shared" ref="C100:M100" si="32">SUM(C98:C99)</f>
        <v>1885524</v>
      </c>
      <c r="D100" s="90">
        <f t="shared" si="32"/>
        <v>199919</v>
      </c>
      <c r="E100" s="90">
        <f t="shared" si="32"/>
        <v>44157</v>
      </c>
      <c r="F100" s="90">
        <f t="shared" ref="F100" si="33">SUM(F98:F99)</f>
        <v>261367</v>
      </c>
      <c r="G100" s="90">
        <f t="shared" si="32"/>
        <v>89619</v>
      </c>
      <c r="H100" s="90">
        <f t="shared" si="32"/>
        <v>580152</v>
      </c>
      <c r="I100" s="90">
        <f t="shared" si="32"/>
        <v>0</v>
      </c>
      <c r="J100" s="90">
        <f t="shared" si="32"/>
        <v>562651</v>
      </c>
      <c r="K100" s="90">
        <f t="shared" si="32"/>
        <v>114418</v>
      </c>
      <c r="L100" s="90">
        <f t="shared" si="32"/>
        <v>1358380</v>
      </c>
      <c r="M100" s="145">
        <f t="shared" si="32"/>
        <v>5096187</v>
      </c>
      <c r="N100" s="19">
        <f>'Q2'!M100-M100</f>
        <v>0</v>
      </c>
      <c r="O100" s="35"/>
    </row>
    <row r="101" spans="2:15" ht="14.45" hidden="1" customHeight="1" x14ac:dyDescent="0.25">
      <c r="N101" s="19">
        <f>'Q2'!M101-M101</f>
        <v>0</v>
      </c>
    </row>
    <row r="102" spans="2:15" ht="14.45" hidden="1" customHeight="1" x14ac:dyDescent="0.25">
      <c r="N102" s="19">
        <f>'Q2'!M102-M102</f>
        <v>0</v>
      </c>
    </row>
    <row r="103" spans="2:15" ht="13.9" hidden="1" customHeight="1" x14ac:dyDescent="0.25">
      <c r="B103" s="91" t="s">
        <v>58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146"/>
      <c r="N103" s="19">
        <f>'Q2'!M103-M103</f>
        <v>0</v>
      </c>
    </row>
    <row r="104" spans="2:15" ht="13.9" hidden="1" customHeight="1" x14ac:dyDescent="0.25">
      <c r="B104" s="93" t="s">
        <v>59</v>
      </c>
      <c r="C104" s="20" t="e">
        <f>IF(#REF!&gt;#REF!,#REF!-#REF!,0)</f>
        <v>#REF!</v>
      </c>
      <c r="D104" s="20" t="e">
        <f>IF(#REF!&gt;#REF!,#REF!-#REF!,0)</f>
        <v>#REF!</v>
      </c>
      <c r="E104" s="20" t="e">
        <f>IF(#REF!&gt;#REF!,#REF!-#REF!,0)</f>
        <v>#REF!</v>
      </c>
      <c r="F104" s="20" t="e">
        <f>IF(#REF!&gt;#REF!,#REF!-#REF!,0)</f>
        <v>#REF!</v>
      </c>
      <c r="G104" s="20" t="e">
        <f>IF(#REF!&gt;#REF!,#REF!-#REF!,0)</f>
        <v>#REF!</v>
      </c>
      <c r="H104" s="20" t="e">
        <f>IF(#REF!&gt;#REF!,#REF!-#REF!,0)</f>
        <v>#REF!</v>
      </c>
      <c r="I104" s="20" t="e">
        <f>IF(#REF!&gt;#REF!,#REF!-#REF!,0)</f>
        <v>#REF!</v>
      </c>
      <c r="J104" s="20"/>
      <c r="K104" s="20" t="e">
        <f>IF(#REF!&gt;#REF!,#REF!-#REF!,0)</f>
        <v>#REF!</v>
      </c>
      <c r="L104" s="20" t="e">
        <f>IF(#REF!&gt;#REF!,#REF!-#REF!,0)</f>
        <v>#REF!</v>
      </c>
      <c r="M104" s="123" t="e">
        <f>IF(#REF!&gt;#REF!,#REF!-#REF!,0)</f>
        <v>#REF!</v>
      </c>
      <c r="N104" s="19" t="e">
        <f>'Q2'!M104-M104</f>
        <v>#REF!</v>
      </c>
    </row>
    <row r="105" spans="2:15" ht="13.9" hidden="1" customHeight="1" x14ac:dyDescent="0.25">
      <c r="B105" s="93" t="s">
        <v>60</v>
      </c>
      <c r="C105" s="94" t="e">
        <f>'[1]Scenarios and assumptions'!#REF!</f>
        <v>#REF!</v>
      </c>
      <c r="D105" s="94" t="e">
        <f>'[1]Scenarios and assumptions'!#REF!</f>
        <v>#REF!</v>
      </c>
      <c r="E105" s="94" t="e">
        <f>'[1]Scenarios and assumptions'!#REF!</f>
        <v>#REF!</v>
      </c>
      <c r="F105" s="94" t="e">
        <f>'[1]Scenarios and assumptions'!#REF!</f>
        <v>#REF!</v>
      </c>
      <c r="G105" s="94" t="e">
        <f>'[1]Scenarios and assumptions'!#REF!</f>
        <v>#REF!</v>
      </c>
      <c r="H105" s="94" t="e">
        <f>'[1]Scenarios and assumptions'!#REF!</f>
        <v>#REF!</v>
      </c>
      <c r="I105" s="94" t="str">
        <f>'[1]Scenarios and assumptions'!B36</f>
        <v>Target dividend payout ratio</v>
      </c>
      <c r="J105" s="94"/>
      <c r="K105" s="94">
        <f>'[1]Scenarios and assumptions'!H36</f>
        <v>0</v>
      </c>
      <c r="L105" s="94">
        <f>'[1]Scenarios and assumptions'!K36</f>
        <v>0</v>
      </c>
      <c r="M105" s="147">
        <f>'[1]Scenarios and assumptions'!AI36</f>
        <v>0</v>
      </c>
      <c r="N105" s="19">
        <f>'Q2'!M105-M105</f>
        <v>0</v>
      </c>
    </row>
    <row r="106" spans="2:15" ht="13.9" hidden="1" customHeight="1" x14ac:dyDescent="0.25">
      <c r="B106" s="93" t="s">
        <v>61</v>
      </c>
      <c r="C106" s="95" t="e">
        <f t="shared" ref="C106:M106" si="34">C104*C105</f>
        <v>#REF!</v>
      </c>
      <c r="D106" s="95" t="e">
        <f t="shared" si="34"/>
        <v>#REF!</v>
      </c>
      <c r="E106" s="95" t="e">
        <f t="shared" si="34"/>
        <v>#REF!</v>
      </c>
      <c r="F106" s="95" t="e">
        <f t="shared" ref="F106" si="35">F104*F105</f>
        <v>#REF!</v>
      </c>
      <c r="G106" s="95" t="e">
        <f t="shared" si="34"/>
        <v>#REF!</v>
      </c>
      <c r="H106" s="95" t="e">
        <f t="shared" si="34"/>
        <v>#REF!</v>
      </c>
      <c r="I106" s="95" t="e">
        <f t="shared" si="34"/>
        <v>#REF!</v>
      </c>
      <c r="J106" s="95"/>
      <c r="K106" s="95" t="e">
        <f t="shared" si="34"/>
        <v>#REF!</v>
      </c>
      <c r="L106" s="95" t="e">
        <f t="shared" si="34"/>
        <v>#REF!</v>
      </c>
      <c r="M106" s="148" t="e">
        <f t="shared" si="34"/>
        <v>#REF!</v>
      </c>
      <c r="N106" s="19" t="e">
        <f>'Q2'!M106-M106</f>
        <v>#REF!</v>
      </c>
    </row>
    <row r="107" spans="2:15" ht="13.9" hidden="1" customHeight="1" x14ac:dyDescent="0.25">
      <c r="N107" s="19">
        <f>'Q2'!M107-M107</f>
        <v>0</v>
      </c>
    </row>
    <row r="108" spans="2:15" ht="13.9" hidden="1" customHeight="1" x14ac:dyDescent="0.25">
      <c r="C108" s="46" t="e">
        <f>(#REF!+#REF!)/#REF!</f>
        <v>#REF!</v>
      </c>
      <c r="D108" s="46" t="e">
        <f>(#REF!+#REF!)/#REF!</f>
        <v>#REF!</v>
      </c>
      <c r="E108" s="46" t="e">
        <f>(#REF!+#REF!)/#REF!</f>
        <v>#REF!</v>
      </c>
      <c r="F108" s="46" t="e">
        <f>(#REF!+#REF!)/#REF!</f>
        <v>#REF!</v>
      </c>
      <c r="G108" s="46" t="e">
        <f>(#REF!+#REF!)/#REF!</f>
        <v>#REF!</v>
      </c>
      <c r="H108" s="46" t="e">
        <f>(#REF!+#REF!)/#REF!</f>
        <v>#REF!</v>
      </c>
      <c r="I108" s="46" t="e">
        <f>(#REF!+#REF!)/#REF!</f>
        <v>#REF!</v>
      </c>
      <c r="J108" s="46"/>
      <c r="K108" s="46" t="e">
        <f>(#REF!+#REF!)/#REF!</f>
        <v>#REF!</v>
      </c>
      <c r="L108" s="46" t="e">
        <f>(#REF!+#REF!)/#REF!</f>
        <v>#REF!</v>
      </c>
      <c r="M108" s="133" t="e">
        <f>(#REF!+#REF!)/#REF!</f>
        <v>#REF!</v>
      </c>
      <c r="N108" s="19" t="e">
        <f>'Q2'!M108-M108</f>
        <v>#REF!</v>
      </c>
    </row>
    <row r="109" spans="2:15" ht="14.45" hidden="1" customHeight="1" x14ac:dyDescent="0.25">
      <c r="N109" s="19">
        <f>'Q2'!M109-M109</f>
        <v>0</v>
      </c>
    </row>
    <row r="110" spans="2:15" ht="14.45" hidden="1" customHeight="1" x14ac:dyDescent="0.25">
      <c r="B110" s="96" t="s">
        <v>62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149"/>
      <c r="N110" s="19">
        <f>'Q2'!M110-M110</f>
        <v>0</v>
      </c>
    </row>
    <row r="111" spans="2:15" ht="14.45" hidden="1" customHeight="1" x14ac:dyDescent="0.25">
      <c r="B111" s="98" t="s">
        <v>55</v>
      </c>
      <c r="C111" s="99" t="e">
        <f>C98/#REF!</f>
        <v>#REF!</v>
      </c>
      <c r="D111" s="99" t="e">
        <f>D98/#REF!</f>
        <v>#REF!</v>
      </c>
      <c r="E111" s="99" t="e">
        <f>E98/#REF!</f>
        <v>#REF!</v>
      </c>
      <c r="F111" s="99" t="e">
        <f>F98/#REF!</f>
        <v>#REF!</v>
      </c>
      <c r="G111" s="99" t="e">
        <f>G98/#REF!</f>
        <v>#REF!</v>
      </c>
      <c r="H111" s="99" t="e">
        <f>H98/#REF!</f>
        <v>#REF!</v>
      </c>
      <c r="I111" s="99" t="e">
        <f>I98/#REF!</f>
        <v>#REF!</v>
      </c>
      <c r="J111" s="99"/>
      <c r="K111" s="99" t="e">
        <f>K98/#REF!</f>
        <v>#REF!</v>
      </c>
      <c r="L111" s="99" t="e">
        <f>L98/#REF!</f>
        <v>#REF!</v>
      </c>
      <c r="M111" s="150" t="e">
        <f>M98/#REF!</f>
        <v>#REF!</v>
      </c>
      <c r="N111" s="19" t="e">
        <f>'Q2'!M111-M111</f>
        <v>#REF!</v>
      </c>
    </row>
    <row r="112" spans="2:15" ht="14.45" hidden="1" customHeight="1" x14ac:dyDescent="0.25">
      <c r="B112" s="100" t="s">
        <v>56</v>
      </c>
      <c r="C112" s="101" t="e">
        <f>C99/#REF!</f>
        <v>#REF!</v>
      </c>
      <c r="D112" s="101" t="e">
        <f>D99/#REF!</f>
        <v>#REF!</v>
      </c>
      <c r="E112" s="101" t="e">
        <f>E99/#REF!</f>
        <v>#REF!</v>
      </c>
      <c r="F112" s="101" t="e">
        <f>F99/#REF!</f>
        <v>#REF!</v>
      </c>
      <c r="G112" s="101" t="e">
        <f>G99/#REF!</f>
        <v>#REF!</v>
      </c>
      <c r="H112" s="101" t="e">
        <f>H99/#REF!</f>
        <v>#REF!</v>
      </c>
      <c r="I112" s="101" t="e">
        <f>I99/#REF!</f>
        <v>#REF!</v>
      </c>
      <c r="J112" s="101"/>
      <c r="K112" s="101" t="e">
        <f>K99/#REF!</f>
        <v>#REF!</v>
      </c>
      <c r="L112" s="101" t="e">
        <f>L99/#REF!</f>
        <v>#REF!</v>
      </c>
      <c r="M112" s="151" t="e">
        <f>M99/#REF!</f>
        <v>#REF!</v>
      </c>
      <c r="N112" s="19" t="e">
        <f>'Q2'!M112-M112</f>
        <v>#REF!</v>
      </c>
    </row>
    <row r="113" spans="2:15" ht="14.45" hidden="1" customHeight="1" x14ac:dyDescent="0.25">
      <c r="B113" s="102" t="s">
        <v>57</v>
      </c>
      <c r="C113" s="103" t="e">
        <f>C100/#REF!</f>
        <v>#REF!</v>
      </c>
      <c r="D113" s="103" t="e">
        <f>D100/#REF!</f>
        <v>#REF!</v>
      </c>
      <c r="E113" s="103" t="e">
        <f>E100/#REF!</f>
        <v>#REF!</v>
      </c>
      <c r="F113" s="103" t="e">
        <f>F100/#REF!</f>
        <v>#REF!</v>
      </c>
      <c r="G113" s="103" t="e">
        <f>G100/#REF!</f>
        <v>#REF!</v>
      </c>
      <c r="H113" s="103" t="e">
        <f>H100/#REF!</f>
        <v>#REF!</v>
      </c>
      <c r="I113" s="103" t="e">
        <f>I100/#REF!</f>
        <v>#REF!</v>
      </c>
      <c r="J113" s="103"/>
      <c r="K113" s="103" t="e">
        <f>K100/#REF!</f>
        <v>#REF!</v>
      </c>
      <c r="L113" s="103" t="e">
        <f>L100/#REF!</f>
        <v>#REF!</v>
      </c>
      <c r="M113" s="152" t="e">
        <f>M100/#REF!</f>
        <v>#REF!</v>
      </c>
      <c r="N113" s="19" t="e">
        <f>'Q2'!M113-M113</f>
        <v>#REF!</v>
      </c>
    </row>
    <row r="114" spans="2:15" ht="14.45" hidden="1" customHeight="1" x14ac:dyDescent="0.25">
      <c r="N114" s="19">
        <f>'Q2'!M114-M114</f>
        <v>0</v>
      </c>
    </row>
    <row r="115" spans="2:15" ht="14.45" hidden="1" customHeight="1" x14ac:dyDescent="0.25">
      <c r="N115" s="19">
        <f>'Q2'!M115-M115</f>
        <v>0</v>
      </c>
    </row>
    <row r="116" spans="2:15" ht="14.45" hidden="1" customHeight="1" x14ac:dyDescent="0.25">
      <c r="B116" s="96" t="s">
        <v>63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149"/>
      <c r="N116" s="19">
        <f>'Q2'!M116-M116</f>
        <v>0</v>
      </c>
    </row>
    <row r="117" spans="2:15" ht="14.45" hidden="1" customHeight="1" x14ac:dyDescent="0.25">
      <c r="B117" s="104" t="s">
        <v>55</v>
      </c>
      <c r="C117" s="105" t="e">
        <f>+SUM(C68:C68,C73)/#REF!</f>
        <v>#REF!</v>
      </c>
      <c r="D117" s="105" t="e">
        <f>+SUM(D68:D68,D73)/#REF!</f>
        <v>#REF!</v>
      </c>
      <c r="E117" s="105" t="e">
        <f>+SUM(E68:E68,E73)/#REF!</f>
        <v>#REF!</v>
      </c>
      <c r="F117" s="105" t="e">
        <f>+SUM(F68:F68,F73)/#REF!</f>
        <v>#REF!</v>
      </c>
      <c r="G117" s="105" t="e">
        <f>+SUM(G68:G68,G73)/#REF!</f>
        <v>#REF!</v>
      </c>
      <c r="H117" s="105" t="e">
        <f>+SUM(H68:H68,H73)/#REF!</f>
        <v>#REF!</v>
      </c>
      <c r="I117" s="105" t="e">
        <f>+SUM(I68:I68,I73)/#REF!</f>
        <v>#REF!</v>
      </c>
      <c r="J117" s="105"/>
      <c r="K117" s="105" t="e">
        <f>+SUM(K68:K68,K73)/#REF!</f>
        <v>#REF!</v>
      </c>
      <c r="L117" s="105" t="e">
        <f>+SUM(L68:L68,L73)/#REF!</f>
        <v>#REF!</v>
      </c>
      <c r="M117" s="150" t="e">
        <f>+SUM(M68:M68,M73)/#REF!</f>
        <v>#REF!</v>
      </c>
      <c r="N117" s="19" t="e">
        <f>'Q2'!M117-M117</f>
        <v>#REF!</v>
      </c>
    </row>
    <row r="118" spans="2:15" ht="14.45" hidden="1" customHeight="1" x14ac:dyDescent="0.25">
      <c r="B118" s="106" t="s">
        <v>56</v>
      </c>
      <c r="C118" s="107" t="e">
        <f>SUM(C63,#REF!)/#REF!</f>
        <v>#REF!</v>
      </c>
      <c r="D118" s="107" t="e">
        <f>SUM(D63,#REF!)/#REF!</f>
        <v>#REF!</v>
      </c>
      <c r="E118" s="107" t="e">
        <f>SUM(E63,#REF!)/#REF!</f>
        <v>#REF!</v>
      </c>
      <c r="F118" s="107" t="e">
        <f>SUM(F63,#REF!)/#REF!</f>
        <v>#REF!</v>
      </c>
      <c r="G118" s="107" t="e">
        <f>SUM(G63,#REF!)/#REF!</f>
        <v>#REF!</v>
      </c>
      <c r="H118" s="107" t="e">
        <f>SUM(H63,#REF!)/#REF!</f>
        <v>#REF!</v>
      </c>
      <c r="I118" s="107" t="e">
        <f>SUM(I63,#REF!)/#REF!</f>
        <v>#REF!</v>
      </c>
      <c r="J118" s="107"/>
      <c r="K118" s="107" t="e">
        <f>SUM(K63,#REF!)/#REF!</f>
        <v>#REF!</v>
      </c>
      <c r="L118" s="107" t="e">
        <f>SUM(L63,#REF!)/#REF!</f>
        <v>#REF!</v>
      </c>
      <c r="M118" s="151" t="e">
        <f>SUM(M63,#REF!)/#REF!</f>
        <v>#REF!</v>
      </c>
      <c r="N118" s="19" t="e">
        <f>'Q2'!M118-M118</f>
        <v>#REF!</v>
      </c>
    </row>
    <row r="119" spans="2:15" ht="14.45" hidden="1" customHeight="1" x14ac:dyDescent="0.25">
      <c r="B119" s="108" t="s">
        <v>57</v>
      </c>
      <c r="C119" s="109" t="e">
        <f t="shared" ref="C119:M119" si="36">+C117+C118</f>
        <v>#REF!</v>
      </c>
      <c r="D119" s="109" t="e">
        <f t="shared" si="36"/>
        <v>#REF!</v>
      </c>
      <c r="E119" s="109" t="e">
        <f t="shared" si="36"/>
        <v>#REF!</v>
      </c>
      <c r="F119" s="109" t="e">
        <f t="shared" ref="F119" si="37">+F117+F118</f>
        <v>#REF!</v>
      </c>
      <c r="G119" s="109" t="e">
        <f t="shared" si="36"/>
        <v>#REF!</v>
      </c>
      <c r="H119" s="109" t="e">
        <f t="shared" si="36"/>
        <v>#REF!</v>
      </c>
      <c r="I119" s="109" t="e">
        <f t="shared" si="36"/>
        <v>#REF!</v>
      </c>
      <c r="J119" s="109"/>
      <c r="K119" s="109" t="e">
        <f t="shared" si="36"/>
        <v>#REF!</v>
      </c>
      <c r="L119" s="109" t="e">
        <f t="shared" si="36"/>
        <v>#REF!</v>
      </c>
      <c r="M119" s="152" t="e">
        <f t="shared" si="36"/>
        <v>#REF!</v>
      </c>
      <c r="N119" s="19" t="e">
        <f>'Q2'!M119-M119</f>
        <v>#REF!</v>
      </c>
    </row>
    <row r="120" spans="2:15" ht="13.5" thickBot="1" x14ac:dyDescent="0.3">
      <c r="B120" s="110" t="s">
        <v>64</v>
      </c>
      <c r="C120" s="111">
        <f t="shared" ref="C120:M120" si="38">C100/C95</f>
        <v>0.33095713058291071</v>
      </c>
      <c r="D120" s="111">
        <f t="shared" si="38"/>
        <v>0.4649592646945957</v>
      </c>
      <c r="E120" s="111">
        <f t="shared" si="38"/>
        <v>0.11039415591233868</v>
      </c>
      <c r="F120" s="111">
        <f t="shared" ref="F120" si="39">F100/F95</f>
        <v>0.29344460337313039</v>
      </c>
      <c r="G120" s="111">
        <f t="shared" si="38"/>
        <v>0.38264051372261026</v>
      </c>
      <c r="H120" s="111">
        <f t="shared" si="38"/>
        <v>0.3057449711541958</v>
      </c>
      <c r="I120" s="111" t="e">
        <f t="shared" si="38"/>
        <v>#DIV/0!</v>
      </c>
      <c r="J120" s="111">
        <f t="shared" si="38"/>
        <v>0.22578616705538282</v>
      </c>
      <c r="K120" s="111">
        <f t="shared" si="38"/>
        <v>0.16815691392425899</v>
      </c>
      <c r="L120" s="111">
        <f t="shared" si="38"/>
        <v>0.40179021710419871</v>
      </c>
      <c r="M120" s="153">
        <f t="shared" si="38"/>
        <v>0.31647913978462572</v>
      </c>
      <c r="N120" s="19">
        <f>'Q2'!M120-M120</f>
        <v>0</v>
      </c>
    </row>
    <row r="121" spans="2:15" ht="13.5" thickBot="1" x14ac:dyDescent="0.3">
      <c r="B121" s="82" t="s">
        <v>54</v>
      </c>
      <c r="C121" s="83"/>
      <c r="D121" s="84"/>
      <c r="E121" s="83"/>
      <c r="F121" s="83"/>
      <c r="G121" s="83"/>
      <c r="H121" s="83"/>
      <c r="I121" s="84"/>
      <c r="J121" s="84"/>
      <c r="K121" s="84"/>
      <c r="L121" s="84"/>
      <c r="M121" s="144"/>
      <c r="N121" s="19">
        <f>'Q2'!M121-M121</f>
        <v>0</v>
      </c>
    </row>
    <row r="122" spans="2:15" x14ac:dyDescent="0.25">
      <c r="B122" s="85" t="s">
        <v>55</v>
      </c>
      <c r="C122" s="112">
        <f t="shared" ref="C122:M123" si="40">C98/C$95</f>
        <v>0.33095713058291071</v>
      </c>
      <c r="D122" s="112">
        <f t="shared" si="40"/>
        <v>0.4649592646945957</v>
      </c>
      <c r="E122" s="112">
        <f t="shared" si="40"/>
        <v>0.11039415591233868</v>
      </c>
      <c r="F122" s="112">
        <f t="shared" ref="F122" si="41">F98/F$95</f>
        <v>0.29344460337313039</v>
      </c>
      <c r="G122" s="112">
        <f t="shared" si="40"/>
        <v>0.38264051372261026</v>
      </c>
      <c r="H122" s="112">
        <f t="shared" si="40"/>
        <v>0.3057449711541958</v>
      </c>
      <c r="I122" s="112" t="e">
        <f t="shared" si="40"/>
        <v>#DIV/0!</v>
      </c>
      <c r="J122" s="112">
        <f t="shared" ref="J122" si="42">J98/J$95</f>
        <v>0.22399400633395988</v>
      </c>
      <c r="K122" s="112">
        <f t="shared" si="40"/>
        <v>0.16815691392425899</v>
      </c>
      <c r="L122" s="112">
        <f t="shared" si="40"/>
        <v>0.39383504411209236</v>
      </c>
      <c r="M122" s="150">
        <f t="shared" si="40"/>
        <v>0.31453158521043412</v>
      </c>
      <c r="N122" s="19">
        <f>'Q2'!M122-M122</f>
        <v>0</v>
      </c>
      <c r="O122" s="35"/>
    </row>
    <row r="123" spans="2:15" x14ac:dyDescent="0.25">
      <c r="B123" s="87" t="s">
        <v>56</v>
      </c>
      <c r="C123" s="113">
        <f t="shared" si="40"/>
        <v>0</v>
      </c>
      <c r="D123" s="113">
        <f t="shared" si="40"/>
        <v>0</v>
      </c>
      <c r="E123" s="113">
        <f t="shared" si="40"/>
        <v>0</v>
      </c>
      <c r="F123" s="113">
        <f t="shared" ref="F123" si="43">F99/F$95</f>
        <v>0</v>
      </c>
      <c r="G123" s="113">
        <f t="shared" si="40"/>
        <v>0</v>
      </c>
      <c r="H123" s="113">
        <f t="shared" si="40"/>
        <v>0</v>
      </c>
      <c r="I123" s="113" t="e">
        <f t="shared" si="40"/>
        <v>#DIV/0!</v>
      </c>
      <c r="J123" s="113">
        <f t="shared" ref="J123" si="44">J99/J$95</f>
        <v>1.7921607214229419E-3</v>
      </c>
      <c r="K123" s="113">
        <f t="shared" si="40"/>
        <v>0</v>
      </c>
      <c r="L123" s="113">
        <f t="shared" si="40"/>
        <v>7.9551729921063501E-3</v>
      </c>
      <c r="M123" s="151">
        <f t="shared" si="40"/>
        <v>1.9475545741915764E-3</v>
      </c>
      <c r="N123" s="19">
        <f>'Q2'!M123-M123</f>
        <v>0</v>
      </c>
      <c r="O123" s="35"/>
    </row>
    <row r="124" spans="2:15" ht="16.899999999999999" customHeight="1" thickBot="1" x14ac:dyDescent="0.3">
      <c r="B124" s="89" t="s">
        <v>57</v>
      </c>
      <c r="C124" s="114">
        <f>SUM(C122:C123)</f>
        <v>0.33095713058291071</v>
      </c>
      <c r="D124" s="114">
        <f t="shared" ref="D124:M124" si="45">SUM(D122:D123)</f>
        <v>0.4649592646945957</v>
      </c>
      <c r="E124" s="114">
        <f t="shared" si="45"/>
        <v>0.11039415591233868</v>
      </c>
      <c r="F124" s="114">
        <f t="shared" ref="F124" si="46">SUM(F122:F123)</f>
        <v>0.29344460337313039</v>
      </c>
      <c r="G124" s="114">
        <f t="shared" si="45"/>
        <v>0.38264051372261026</v>
      </c>
      <c r="H124" s="114">
        <f t="shared" si="45"/>
        <v>0.3057449711541958</v>
      </c>
      <c r="I124" s="114" t="e">
        <f t="shared" si="45"/>
        <v>#DIV/0!</v>
      </c>
      <c r="J124" s="114">
        <f t="shared" ref="J124" si="47">SUM(J122:J123)</f>
        <v>0.22578616705538282</v>
      </c>
      <c r="K124" s="114">
        <f t="shared" si="45"/>
        <v>0.16815691392425899</v>
      </c>
      <c r="L124" s="114">
        <f t="shared" si="45"/>
        <v>0.40179021710419871</v>
      </c>
      <c r="M124" s="154">
        <f t="shared" si="45"/>
        <v>0.31647913978462572</v>
      </c>
      <c r="N124" s="19">
        <f>'Q2'!M124-M124</f>
        <v>0</v>
      </c>
      <c r="O124" s="35"/>
    </row>
    <row r="125" spans="2:15" ht="16.899999999999999" customHeight="1" x14ac:dyDescent="0.25">
      <c r="B125" s="3" t="s">
        <v>148</v>
      </c>
      <c r="C125" s="184"/>
      <c r="D125" s="184"/>
      <c r="E125" s="184"/>
      <c r="F125" s="184">
        <v>50000</v>
      </c>
      <c r="G125" s="184">
        <v>2500</v>
      </c>
      <c r="H125" s="184">
        <v>2500</v>
      </c>
      <c r="I125" s="184">
        <v>2500</v>
      </c>
      <c r="J125" s="184">
        <v>50000</v>
      </c>
      <c r="K125" s="184">
        <v>2500</v>
      </c>
      <c r="L125" s="184">
        <v>50000</v>
      </c>
      <c r="M125" s="183"/>
    </row>
    <row r="126" spans="2:15" ht="16.899999999999999" customHeight="1" x14ac:dyDescent="0.25">
      <c r="B126" s="3" t="s">
        <v>150</v>
      </c>
      <c r="C126" s="184">
        <f>0.15*C95</f>
        <v>854577.75</v>
      </c>
      <c r="D126" s="184">
        <f t="shared" ref="D126:K126" si="48">0.15*D95</f>
        <v>64495.649999999994</v>
      </c>
      <c r="E126" s="184">
        <f t="shared" si="48"/>
        <v>59999.1</v>
      </c>
      <c r="F126" s="184">
        <f t="shared" si="48"/>
        <v>133602.9</v>
      </c>
      <c r="G126" s="184">
        <f t="shared" si="48"/>
        <v>35131.799999999996</v>
      </c>
      <c r="H126" s="184">
        <f t="shared" si="48"/>
        <v>284625.45</v>
      </c>
      <c r="I126" s="184">
        <f t="shared" si="48"/>
        <v>0</v>
      </c>
      <c r="J126" s="184">
        <f>0.1*J95</f>
        <v>249196.40000000002</v>
      </c>
      <c r="K126" s="184">
        <f t="shared" si="48"/>
        <v>102063.59999999999</v>
      </c>
      <c r="L126" s="184">
        <f>0.1*L95</f>
        <v>338081.9</v>
      </c>
      <c r="M126" s="183"/>
    </row>
    <row r="127" spans="2:15" ht="16.899999999999999" customHeight="1" x14ac:dyDescent="0.25">
      <c r="B127" s="3" t="s">
        <v>149</v>
      </c>
      <c r="C127" s="184">
        <f>IF(C125&gt;C126,C100-C125,C100-C126)</f>
        <v>1030946.25</v>
      </c>
      <c r="D127" s="184">
        <f t="shared" ref="D127:L127" si="49">IF(D125&gt;D126,D100-D125,D100-D126)</f>
        <v>135423.35</v>
      </c>
      <c r="E127" s="184">
        <f t="shared" si="49"/>
        <v>-15842.099999999999</v>
      </c>
      <c r="F127" s="184">
        <f t="shared" si="49"/>
        <v>127764.1</v>
      </c>
      <c r="G127" s="184">
        <f t="shared" si="49"/>
        <v>54487.200000000004</v>
      </c>
      <c r="H127" s="184">
        <f t="shared" si="49"/>
        <v>295526.55</v>
      </c>
      <c r="I127" s="184">
        <f t="shared" si="49"/>
        <v>-2500</v>
      </c>
      <c r="J127" s="184">
        <f t="shared" si="49"/>
        <v>313454.59999999998</v>
      </c>
      <c r="K127" s="184">
        <f t="shared" si="49"/>
        <v>12354.400000000009</v>
      </c>
      <c r="L127" s="184">
        <f t="shared" si="49"/>
        <v>1020298.1</v>
      </c>
      <c r="M127" s="122">
        <f>SUM(C127:L127)</f>
        <v>2971912.45</v>
      </c>
    </row>
    <row r="128" spans="2:15" ht="16.899999999999999" customHeight="1" x14ac:dyDescent="0.25">
      <c r="B128" s="181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3"/>
    </row>
    <row r="131" spans="2:13" x14ac:dyDescent="0.25">
      <c r="B131" s="160" t="s">
        <v>110</v>
      </c>
    </row>
    <row r="132" spans="2:13" x14ac:dyDescent="0.25">
      <c r="B132" s="157" t="s">
        <v>87</v>
      </c>
      <c r="C132" s="290">
        <f>(C21*4/Data!$B$4)/C142</f>
        <v>0.17757552645439748</v>
      </c>
      <c r="D132" s="290">
        <f>(D21*4/Data!$B$4)/D142</f>
        <v>0.22430169410848352</v>
      </c>
      <c r="E132" s="290">
        <f>(E21*4/Data!$B$4)/E142</f>
        <v>0.30465235181313827</v>
      </c>
      <c r="F132" s="290">
        <f>(F21*4/Data!$B$4)/F142</f>
        <v>6.1014452461905164E-2</v>
      </c>
      <c r="G132" s="290">
        <f>(G21*4/Data!$B$4)/G142</f>
        <v>0.10760894451652293</v>
      </c>
      <c r="H132" s="290">
        <f>(H21*4/Data!$B$4)/H142</f>
        <v>0.13911250065758668</v>
      </c>
      <c r="I132" s="290" t="e">
        <f>(I21*4/Data!$B$4)/I142</f>
        <v>#DIV/0!</v>
      </c>
      <c r="J132" s="290">
        <f>(J21*4/Data!$B$4)/J142</f>
        <v>0.17895072170780416</v>
      </c>
      <c r="K132" s="290">
        <f>(K21*4/Data!$B$4)/K142</f>
        <v>0.3638911342559123</v>
      </c>
      <c r="L132" s="290">
        <f>(L21*4/Data!$B$4)/L142</f>
        <v>0.1011017886315267</v>
      </c>
      <c r="M132" s="290">
        <f>(M21*4/Data!$B$4)/M142</f>
        <v>0.15511498463420453</v>
      </c>
    </row>
    <row r="133" spans="2:13" x14ac:dyDescent="0.25">
      <c r="B133" s="158" t="s">
        <v>88</v>
      </c>
    </row>
    <row r="134" spans="2:13" x14ac:dyDescent="0.25">
      <c r="B134" s="158" t="s">
        <v>89</v>
      </c>
    </row>
    <row r="135" spans="2:13" x14ac:dyDescent="0.25">
      <c r="B135" s="158" t="s">
        <v>111</v>
      </c>
      <c r="C135" s="290">
        <f>(C14*4/Data!$B$4)/C141</f>
        <v>0.32418461659328879</v>
      </c>
      <c r="D135" s="290">
        <f>(D14*4/Data!$B$4)/D141</f>
        <v>0.49818875410086211</v>
      </c>
      <c r="E135" s="290">
        <f>(E14*4/Data!$B$4)/E141</f>
        <v>0.76125031512577745</v>
      </c>
      <c r="F135" s="290">
        <f>(F14*4/Data!$B$4)/F141</f>
        <v>0.28006395998425937</v>
      </c>
      <c r="G135" s="290">
        <f>(G14*4/Data!$B$4)/G141</f>
        <v>0.36746706012073327</v>
      </c>
      <c r="H135" s="290">
        <f>(H14*4/Data!$B$4)/H141</f>
        <v>0.36546802878380025</v>
      </c>
      <c r="I135" s="290" t="e">
        <f>(I14*4/Data!$B$4)/I141</f>
        <v>#DIV/0!</v>
      </c>
      <c r="J135" s="290">
        <f>(J14*4/Data!$B$4)/J141</f>
        <v>0.34261804516510663</v>
      </c>
      <c r="K135" s="290">
        <f>(K14*4/Data!$B$4)/K141</f>
        <v>0.63671176084157866</v>
      </c>
      <c r="L135" s="290">
        <f>(L14*4/Data!$B$4)/L141</f>
        <v>0.26465801734742594</v>
      </c>
      <c r="M135" s="290">
        <f>(M14*4/Data!$B$4)/M141</f>
        <v>0.34102160868669912</v>
      </c>
    </row>
    <row r="136" spans="2:13" x14ac:dyDescent="0.25">
      <c r="B136" s="158" t="s">
        <v>112</v>
      </c>
      <c r="C136" s="290">
        <f>-(C18*4/Data!$B$4)/C146</f>
        <v>0.17016887903442873</v>
      </c>
      <c r="D136" s="290">
        <f>-(D18*4/Data!$B$4)/D146</f>
        <v>0.13853536407260589</v>
      </c>
      <c r="E136" s="290">
        <f>-(E18*4/Data!$B$4)/E146</f>
        <v>0.18054437757439787</v>
      </c>
      <c r="F136" s="290">
        <f>-(F18*4/Data!$B$4)/F146</f>
        <v>0.17041989932703744</v>
      </c>
      <c r="G136" s="290">
        <f>-(G18*4/Data!$B$4)/G146</f>
        <v>0.16555254400728178</v>
      </c>
      <c r="H136" s="290">
        <f>-(H18*4/Data!$B$4)/H146</f>
        <v>0.20810757006103145</v>
      </c>
      <c r="I136" s="290" t="e">
        <f>-(I18*4/Data!$B$4)/I146</f>
        <v>#DIV/0!</v>
      </c>
      <c r="J136" s="290">
        <f>-(J18*4/Data!$B$4)/J146</f>
        <v>9.2180054109074025E-2</v>
      </c>
      <c r="K136" s="290">
        <f>-(K18*4/Data!$B$4)/K146</f>
        <v>0.2377019968026719</v>
      </c>
      <c r="L136" s="290">
        <f>-(L18*4/Data!$B$4)/L146</f>
        <v>0.10308477854364619</v>
      </c>
      <c r="M136" s="290">
        <f>-(M18*4/Data!$B$4)/M146</f>
        <v>0.1362032535561134</v>
      </c>
    </row>
    <row r="137" spans="2:13" x14ac:dyDescent="0.25">
      <c r="B137" s="159" t="s">
        <v>90</v>
      </c>
    </row>
    <row r="138" spans="2:13" x14ac:dyDescent="0.25">
      <c r="B138" s="160" t="s">
        <v>91</v>
      </c>
    </row>
    <row r="139" spans="2:13" x14ac:dyDescent="0.25">
      <c r="B139" s="157" t="s">
        <v>92</v>
      </c>
      <c r="C139" s="290">
        <f t="shared" ref="C139:M139" si="50">ABS(C34)/(C21+C25)</f>
        <v>0.39682408779875905</v>
      </c>
      <c r="D139" s="290">
        <f t="shared" si="50"/>
        <v>0.6506178283915709</v>
      </c>
      <c r="E139" s="290">
        <f t="shared" si="50"/>
        <v>0.86825732287819235</v>
      </c>
      <c r="F139" s="290">
        <f t="shared" si="50"/>
        <v>0.47505602708373068</v>
      </c>
      <c r="G139" s="290">
        <f t="shared" si="50"/>
        <v>1.3573636506522764</v>
      </c>
      <c r="H139" s="290">
        <f t="shared" si="50"/>
        <v>0.48927420413282197</v>
      </c>
      <c r="I139" s="290" t="e">
        <f t="shared" si="50"/>
        <v>#DIV/0!</v>
      </c>
      <c r="J139" s="290">
        <f t="shared" si="50"/>
        <v>0.63353654263891812</v>
      </c>
      <c r="K139" s="290">
        <f t="shared" si="50"/>
        <v>0.73662206715288081</v>
      </c>
      <c r="L139" s="290">
        <f t="shared" si="50"/>
        <v>0.74618432743844765</v>
      </c>
      <c r="M139" s="290">
        <f t="shared" si="50"/>
        <v>0.58355833757852715</v>
      </c>
    </row>
    <row r="140" spans="2:13" x14ac:dyDescent="0.25">
      <c r="B140" s="161" t="s">
        <v>93</v>
      </c>
      <c r="C140" s="290">
        <f t="shared" ref="C140:M140" si="51">C25/(C21+C25)</f>
        <v>0.1251028145691771</v>
      </c>
      <c r="D140" s="290">
        <f t="shared" si="51"/>
        <v>0.19320864354457962</v>
      </c>
      <c r="E140" s="290">
        <f t="shared" si="51"/>
        <v>-2.6862075095301113E-2</v>
      </c>
      <c r="F140" s="290">
        <f t="shared" si="51"/>
        <v>0.76225443448407404</v>
      </c>
      <c r="G140" s="290">
        <f t="shared" si="51"/>
        <v>0.26127730916330488</v>
      </c>
      <c r="H140" s="290">
        <f t="shared" si="51"/>
        <v>0.41834249631779274</v>
      </c>
      <c r="I140" s="290" t="e">
        <f t="shared" si="51"/>
        <v>#DIV/0!</v>
      </c>
      <c r="J140" s="290">
        <f t="shared" si="51"/>
        <v>0.19240884777987993</v>
      </c>
      <c r="K140" s="290">
        <f t="shared" si="51"/>
        <v>0.27952444263416359</v>
      </c>
      <c r="L140" s="290">
        <f t="shared" si="51"/>
        <v>0.17096004471323339</v>
      </c>
      <c r="M140" s="290">
        <f t="shared" si="51"/>
        <v>0.24988126022481397</v>
      </c>
    </row>
    <row r="141" spans="2:13" x14ac:dyDescent="0.25">
      <c r="B141" s="161" t="s">
        <v>156</v>
      </c>
      <c r="C141" s="19">
        <f>(C51+Base!C51)/2</f>
        <v>3869468</v>
      </c>
      <c r="D141" s="19">
        <f>(D51+Base!D51)/2</f>
        <v>491512.5</v>
      </c>
      <c r="E141" s="19">
        <f>(E51+Base!E51)/2</f>
        <v>192383.5</v>
      </c>
      <c r="F141" s="19">
        <f>(F51+Base!F51)/2</f>
        <v>822076.5</v>
      </c>
      <c r="G141" s="19">
        <f>(G51+Base!G51)/2</f>
        <v>189094.5</v>
      </c>
      <c r="H141" s="19">
        <f>(H51+Base!H51)/2</f>
        <v>1164266</v>
      </c>
      <c r="I141" s="19">
        <f>(I51+Base!I51)/2</f>
        <v>0</v>
      </c>
      <c r="J141" s="19">
        <f>(J51+Base!J51)/2</f>
        <v>2299120</v>
      </c>
      <c r="K141" s="19">
        <f>(K51+Base!K51)/2</f>
        <v>396540.5</v>
      </c>
      <c r="L141" s="19">
        <f>(L51+Base!L51)/2</f>
        <v>2582631</v>
      </c>
      <c r="M141" s="19">
        <f>(M51+Base!M51)/2</f>
        <v>12007092.5</v>
      </c>
    </row>
    <row r="142" spans="2:13" x14ac:dyDescent="0.25">
      <c r="B142" s="161" t="s">
        <v>154</v>
      </c>
      <c r="C142" s="212">
        <f>(C54+Base!C54)/2</f>
        <v>4540445.5</v>
      </c>
      <c r="D142" s="212">
        <f>(D54+Base!D54)/2</f>
        <v>831942</v>
      </c>
      <c r="E142" s="212">
        <f>(E54+Base!E54)/2</f>
        <v>341300.5</v>
      </c>
      <c r="F142" s="212">
        <f>(F54+Base!F54)/2</f>
        <v>1307493.5</v>
      </c>
      <c r="G142" s="212">
        <f>(G54+Base!G54)/2</f>
        <v>262060</v>
      </c>
      <c r="H142" s="212">
        <f>(H54+Base!H54)/2</f>
        <v>1720305.5</v>
      </c>
      <c r="I142" s="212">
        <f>(I54+Base!I54)/2</f>
        <v>0</v>
      </c>
      <c r="J142" s="212">
        <f>(J54+Base!J54)/2</f>
        <v>3864237</v>
      </c>
      <c r="K142" s="212">
        <f>(K54+Base!K54)/2</f>
        <v>515258.5</v>
      </c>
      <c r="L142" s="212">
        <f>(L54+Base!L54)/2</f>
        <v>4577466</v>
      </c>
      <c r="M142" s="212">
        <f>(M54+Base!M54)/2</f>
        <v>17960508.5</v>
      </c>
    </row>
    <row r="143" spans="2:13" x14ac:dyDescent="0.25">
      <c r="B143" s="159" t="s">
        <v>155</v>
      </c>
      <c r="C143" s="19">
        <f>(C76+Base!C76)/2</f>
        <v>1907945.5</v>
      </c>
      <c r="D143" s="19">
        <f>(D76+Base!D76)/2</f>
        <v>189599.5</v>
      </c>
      <c r="E143" s="19">
        <f>(E76+Base!E76)/2</f>
        <v>58522.5</v>
      </c>
      <c r="F143" s="19">
        <f>(F76+Base!F76)/2</f>
        <v>233672.5</v>
      </c>
      <c r="G143" s="19">
        <f>(G76+Base!G76)/2</f>
        <v>-461.5</v>
      </c>
      <c r="H143" s="19">
        <f>(H76+Base!H76)/2</f>
        <v>567953.5</v>
      </c>
      <c r="I143" s="19">
        <f>(I76+Base!I76)/2</f>
        <v>0</v>
      </c>
      <c r="J143" s="19">
        <f>(J76+Base!J76)/2</f>
        <v>536054</v>
      </c>
      <c r="K143" s="19">
        <f>(K76+Base!K76)/2</f>
        <v>110662.5</v>
      </c>
      <c r="L143" s="19">
        <f>(L76+Base!L76)/2</f>
        <v>1387178</v>
      </c>
      <c r="M143" s="19">
        <f>(M76+Base!M76)/2</f>
        <v>4991126.5</v>
      </c>
    </row>
    <row r="144" spans="2:13" x14ac:dyDescent="0.25">
      <c r="B144" s="160" t="s">
        <v>94</v>
      </c>
    </row>
    <row r="145" spans="2:13" x14ac:dyDescent="0.25">
      <c r="B145" s="157" t="s">
        <v>95</v>
      </c>
      <c r="C145" s="290">
        <f>(-1*C22*4/Data!$B$4)/C141</f>
        <v>4.3230749033200426E-3</v>
      </c>
      <c r="D145" s="290">
        <f>(-1*D22*4/Data!$B$4)/D141</f>
        <v>3.0245415935505202E-2</v>
      </c>
      <c r="E145" s="290">
        <f>(-1*E22*4/Data!$B$4)/E141</f>
        <v>8.0557844097856629E-2</v>
      </c>
      <c r="F145" s="290">
        <f>(-1*F22*4/Data!$B$4)/F141</f>
        <v>2.4236187264810513E-2</v>
      </c>
      <c r="G145" s="290">
        <f>(-1*G22*4/Data!$B$4)/G141</f>
        <v>0.43638498211211857</v>
      </c>
      <c r="H145" s="290">
        <f>(-1*H22*4/Data!$B$4)/H141</f>
        <v>1.2266956176681275E-2</v>
      </c>
      <c r="I145" s="290" t="e">
        <f>(-1*I22*4/Data!$B$4)/I141</f>
        <v>#DIV/0!</v>
      </c>
      <c r="J145" s="290">
        <f>(-1*J22*4/Data!$B$4)/J141</f>
        <v>1.1392184835937229E-2</v>
      </c>
      <c r="K145" s="290">
        <f>(-1*K22*4/Data!$B$4)/K141</f>
        <v>2.3230918405560089E-2</v>
      </c>
      <c r="L145" s="290">
        <f>(-1*L22*4/Data!$B$4)/L141</f>
        <v>1.5464849604918396E-3</v>
      </c>
      <c r="M145" s="290">
        <f>(-1*M22*4/Data!$B$4)/M141</f>
        <v>1.6924496917134602E-2</v>
      </c>
    </row>
    <row r="146" spans="2:13" x14ac:dyDescent="0.25">
      <c r="B146" s="159" t="s">
        <v>158</v>
      </c>
      <c r="C146" s="19">
        <f>(C57+Base!C58)/2</f>
        <v>750478</v>
      </c>
      <c r="D146" s="19">
        <f>(D57+Base!D58)/2</f>
        <v>227667.5</v>
      </c>
      <c r="E146" s="19">
        <f>(E57+Base!E58)/2</f>
        <v>210607.5</v>
      </c>
      <c r="F146" s="19">
        <f>(F57+Base!F58)/2</f>
        <v>948715.5</v>
      </c>
      <c r="G146" s="19">
        <f>(G57+Base!G58)/2</f>
        <v>221923.5</v>
      </c>
      <c r="H146" s="19">
        <f>(H57+Base!H58)/2</f>
        <v>879055</v>
      </c>
      <c r="I146" s="19">
        <f>(I57+Base!I58)/2</f>
        <v>0</v>
      </c>
      <c r="J146" s="19">
        <f>(J57+Base!J58)/2</f>
        <v>1654436</v>
      </c>
      <c r="K146" s="19">
        <f>(K57+Base!K58)/2</f>
        <v>49103.5</v>
      </c>
      <c r="L146" s="19">
        <f>(L57+Base!L58)/2</f>
        <v>2104365</v>
      </c>
      <c r="M146" s="19">
        <f>(M57+Base!M58)/2</f>
        <v>7046351.5</v>
      </c>
    </row>
    <row r="147" spans="2:13" x14ac:dyDescent="0.25">
      <c r="B147" s="162" t="s">
        <v>97</v>
      </c>
    </row>
    <row r="148" spans="2:13" x14ac:dyDescent="0.25">
      <c r="B148" s="157" t="s">
        <v>98</v>
      </c>
    </row>
    <row r="149" spans="2:13" x14ac:dyDescent="0.25">
      <c r="B149" s="158" t="s">
        <v>114</v>
      </c>
    </row>
    <row r="150" spans="2:13" x14ac:dyDescent="0.25">
      <c r="B150" s="158" t="s">
        <v>99</v>
      </c>
    </row>
    <row r="151" spans="2:13" x14ac:dyDescent="0.25">
      <c r="B151" s="158" t="s">
        <v>100</v>
      </c>
    </row>
    <row r="152" spans="2:13" x14ac:dyDescent="0.25">
      <c r="B152" s="158" t="s">
        <v>101</v>
      </c>
    </row>
    <row r="153" spans="2:13" x14ac:dyDescent="0.25">
      <c r="B153" s="158" t="s">
        <v>102</v>
      </c>
    </row>
    <row r="154" spans="2:13" x14ac:dyDescent="0.25">
      <c r="B154" s="158" t="s">
        <v>103</v>
      </c>
    </row>
    <row r="155" spans="2:13" x14ac:dyDescent="0.25">
      <c r="B155" s="158" t="s">
        <v>104</v>
      </c>
    </row>
    <row r="156" spans="2:13" x14ac:dyDescent="0.25">
      <c r="B156" s="158" t="s">
        <v>105</v>
      </c>
    </row>
    <row r="157" spans="2:13" x14ac:dyDescent="0.25">
      <c r="B157" s="159" t="s">
        <v>106</v>
      </c>
    </row>
    <row r="158" spans="2:13" x14ac:dyDescent="0.25">
      <c r="B158" s="160" t="s">
        <v>107</v>
      </c>
    </row>
    <row r="159" spans="2:13" x14ac:dyDescent="0.25">
      <c r="B159" s="157" t="s">
        <v>108</v>
      </c>
      <c r="C159" s="290">
        <f>(C40*4/Data!$B$4)/C142</f>
        <v>8.3090524927564927E-2</v>
      </c>
      <c r="D159" s="290">
        <f>(D40*4/Data!$B$4)/D142</f>
        <v>5.5487041163927296E-2</v>
      </c>
      <c r="E159" s="290">
        <f>(E40*4/Data!$B$4)/E142</f>
        <v>-1.1139743422585082E-2</v>
      </c>
      <c r="F159" s="290">
        <f>(F40*4/Data!$B$4)/F142</f>
        <v>7.7320460866535851E-2</v>
      </c>
      <c r="G159" s="290">
        <f>(G40*4/Data!$B$4)/G142</f>
        <v>-0.36693886896130656</v>
      </c>
      <c r="H159" s="290">
        <f>(H40*4/Data!$B$4)/H142</f>
        <v>7.9691659417469751E-2</v>
      </c>
      <c r="I159" s="290" t="e">
        <f>(I40*4/Data!$B$4)/I142</f>
        <v>#DIV/0!</v>
      </c>
      <c r="J159" s="290">
        <f>(J40*4/Data!$B$4)/J142</f>
        <v>7.4425041735276587E-2</v>
      </c>
      <c r="K159" s="290">
        <f>(K40*4/Data!$B$4)/K142</f>
        <v>8.2541093451151223E-2</v>
      </c>
      <c r="L159" s="290">
        <f>(L40*4/Data!$B$4)/L142</f>
        <v>3.0080398194110018E-2</v>
      </c>
      <c r="M159" s="290">
        <f>(M40*4/Data!$B$4)/M142</f>
        <v>5.7318867113367082E-2</v>
      </c>
    </row>
    <row r="160" spans="2:13" x14ac:dyDescent="0.25">
      <c r="B160" s="163" t="s">
        <v>109</v>
      </c>
      <c r="C160" s="290">
        <f>(C40*4/Data!$B$4)/C143</f>
        <v>0.19773520784529747</v>
      </c>
      <c r="D160" s="290">
        <f>(D40*4/Data!$B$4)/D143</f>
        <v>0.24347110620017459</v>
      </c>
      <c r="E160" s="290">
        <f>(E40*4/Data!$B$4)/E143</f>
        <v>-6.4966465889187919E-2</v>
      </c>
      <c r="F160" s="290">
        <f>(F40*4/Data!$B$4)/F143</f>
        <v>0.432639698723641</v>
      </c>
      <c r="G160" s="290">
        <f>(G40*4/Data!$B$4)/G143</f>
        <v>208.36403033586132</v>
      </c>
      <c r="H160" s="290">
        <f>(H40*4/Data!$B$4)/H143</f>
        <v>0.24138243711853172</v>
      </c>
      <c r="I160" s="290" t="e">
        <f>(I40*4/Data!$B$4)/I143</f>
        <v>#DIV/0!</v>
      </c>
      <c r="J160" s="290">
        <f>(J40*4/Data!$B$4)/J143</f>
        <v>0.53650565055013111</v>
      </c>
      <c r="K160" s="290">
        <f>(K40*4/Data!$B$4)/K143</f>
        <v>0.3843216988591438</v>
      </c>
      <c r="L160" s="290">
        <f>(L40*4/Data!$B$4)/L143</f>
        <v>9.9260513070420664E-2</v>
      </c>
      <c r="M160" s="290">
        <f>(M40*4/Data!$B$4)/M143</f>
        <v>0.20626125184364691</v>
      </c>
    </row>
    <row r="161" spans="2:2" x14ac:dyDescent="0.25">
      <c r="B161" s="164" t="s">
        <v>115</v>
      </c>
    </row>
  </sheetData>
  <conditionalFormatting sqref="C125:L127">
    <cfRule type="cellIs" dxfId="12" priority="1" stopIfTrue="1" operator="lessThan">
      <formula>#REF!</formula>
    </cfRule>
    <cfRule type="cellIs" dxfId="11" priority="2" operator="lessThan">
      <formula>#REF!</formula>
    </cfRule>
  </conditionalFormatting>
  <conditionalFormatting sqref="C120:M120">
    <cfRule type="cellIs" dxfId="10" priority="14" stopIfTrue="1" operator="lessThan">
      <formula>#REF!</formula>
    </cfRule>
    <cfRule type="cellIs" dxfId="9" priority="15" operator="lessThan">
      <formula>#REF!</formula>
    </cfRule>
  </conditionalFormatting>
  <conditionalFormatting sqref="C124:M124">
    <cfRule type="cellIs" dxfId="8" priority="11" stopIfTrue="1" operator="lessThan">
      <formula>#REF!</formula>
    </cfRule>
    <cfRule type="cellIs" dxfId="7" priority="13" operator="lessThan">
      <formula>#REF!</formula>
    </cfRule>
  </conditionalFormatting>
  <conditionalFormatting sqref="C128:M128">
    <cfRule type="cellIs" dxfId="6" priority="9" operator="lessThan">
      <formula>#REF!</formula>
    </cfRule>
  </conditionalFormatting>
  <conditionalFormatting sqref="M125:M126 C128:M128">
    <cfRule type="cellIs" dxfId="5" priority="7" stopIfTrue="1" operator="lessThan">
      <formula>#REF!</formula>
    </cfRule>
  </conditionalFormatting>
  <conditionalFormatting sqref="M125:M126">
    <cfRule type="cellIs" dxfId="4" priority="10" operator="lessThan">
      <formula>#REF!</formula>
    </cfRule>
  </conditionalFormatting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Drop Down 1">
              <controlPr defaultSize="0" autoLine="0" autoPict="0">
                <anchor moveWithCells="1">
                  <from>
                    <xdr:col>11</xdr:col>
                    <xdr:colOff>0</xdr:colOff>
                    <xdr:row>7</xdr:row>
                    <xdr:rowOff>9525</xdr:rowOff>
                  </from>
                  <to>
                    <xdr:col>12</xdr:col>
                    <xdr:colOff>200025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Drop Down 2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3</xdr:col>
                    <xdr:colOff>733425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Drop Down 3">
              <controlPr defaultSize="0" autoLine="0" autoPict="0">
                <anchor moveWithCells="1">
                  <from>
                    <xdr:col>12</xdr:col>
                    <xdr:colOff>0</xdr:colOff>
                    <xdr:row>7</xdr:row>
                    <xdr:rowOff>9525</xdr:rowOff>
                  </from>
                  <to>
                    <xdr:col>13</xdr:col>
                    <xdr:colOff>57150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Drop Down 4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3</xdr:col>
                    <xdr:colOff>752475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61"/>
  <sheetViews>
    <sheetView zoomScale="90" zoomScaleNormal="90" workbookViewId="0">
      <selection activeCell="C58" sqref="C58"/>
    </sheetView>
  </sheetViews>
  <sheetFormatPr defaultColWidth="9.140625" defaultRowHeight="12.75" outlineLevelRow="1" outlineLevelCol="1" x14ac:dyDescent="0.25"/>
  <cols>
    <col min="1" max="1" width="2.42578125" style="1" customWidth="1"/>
    <col min="2" max="2" width="39.140625" style="3" bestFit="1" customWidth="1"/>
    <col min="3" max="3" width="11.5703125" style="3" customWidth="1" outlineLevel="1"/>
    <col min="4" max="4" width="13.42578125" style="3" customWidth="1" outlineLevel="1"/>
    <col min="5" max="6" width="10.7109375" style="3" customWidth="1" outlineLevel="1"/>
    <col min="7" max="7" width="21" style="3" customWidth="1" outlineLevel="1"/>
    <col min="8" max="8" width="15.42578125" style="3" customWidth="1" outlineLevel="1"/>
    <col min="9" max="10" width="11.28515625" style="3" customWidth="1" outlineLevel="1"/>
    <col min="11" max="11" width="14" style="3" customWidth="1" outlineLevel="1"/>
    <col min="12" max="12" width="11.5703125" style="3" customWidth="1" outlineLevel="1"/>
    <col min="13" max="13" width="14" style="115" bestFit="1" customWidth="1"/>
    <col min="14" max="16384" width="9.140625" style="3"/>
  </cols>
  <sheetData>
    <row r="1" spans="1:14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2"/>
    </row>
    <row r="3" spans="1:14" ht="13.9" hidden="1" customHeight="1" outlineLevel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6">
        <v>1</v>
      </c>
    </row>
    <row r="4" spans="1:14" ht="13.9" hidden="1" customHeight="1" outlineLevel="1" x14ac:dyDescent="0.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6">
        <v>2</v>
      </c>
    </row>
    <row r="5" spans="1:14" ht="13.9" hidden="1" customHeight="1" outlineLevel="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6">
        <v>3</v>
      </c>
    </row>
    <row r="6" spans="1:14" ht="13.9" hidden="1" customHeight="1" outlineLevel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collapsed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s="11" customFormat="1" ht="12.75" customHeight="1" x14ac:dyDescent="0.25">
      <c r="A8" s="1"/>
      <c r="B8" s="7" t="s">
        <v>3</v>
      </c>
      <c r="C8" s="8"/>
      <c r="D8" s="8"/>
      <c r="E8" s="8"/>
      <c r="F8" s="8"/>
      <c r="G8" s="9"/>
      <c r="H8" s="9"/>
      <c r="I8" s="9"/>
      <c r="J8" s="9"/>
      <c r="K8" s="9"/>
      <c r="L8" s="8"/>
      <c r="M8" s="116"/>
    </row>
    <row r="9" spans="1:14" s="11" customFormat="1" ht="13.5" thickBot="1" x14ac:dyDescent="0.3">
      <c r="A9" s="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17"/>
    </row>
    <row r="10" spans="1:14" s="11" customFormat="1" ht="14.45" customHeight="1" thickTop="1" x14ac:dyDescent="0.25">
      <c r="A10" s="1"/>
      <c r="B10" s="14"/>
      <c r="C10" s="15" t="s">
        <v>65</v>
      </c>
      <c r="D10" s="15" t="s">
        <v>66</v>
      </c>
      <c r="E10" s="15" t="s">
        <v>67</v>
      </c>
      <c r="F10" s="15" t="s">
        <v>83</v>
      </c>
      <c r="G10" s="15" t="s">
        <v>82</v>
      </c>
      <c r="H10" s="15" t="s">
        <v>68</v>
      </c>
      <c r="I10" s="15" t="s">
        <v>69</v>
      </c>
      <c r="J10" s="15" t="s">
        <v>161</v>
      </c>
      <c r="K10" s="15" t="s">
        <v>70</v>
      </c>
      <c r="L10" s="15" t="s">
        <v>71</v>
      </c>
      <c r="M10" s="118" t="s">
        <v>4</v>
      </c>
    </row>
    <row r="11" spans="1:14" s="11" customFormat="1" x14ac:dyDescent="0.25">
      <c r="A11" s="1"/>
      <c r="B11" s="14"/>
      <c r="C11" s="16">
        <v>46022</v>
      </c>
      <c r="D11" s="16">
        <f>C11</f>
        <v>46022</v>
      </c>
      <c r="E11" s="16">
        <f t="shared" ref="E11:L11" si="0">D11</f>
        <v>46022</v>
      </c>
      <c r="F11" s="16">
        <f t="shared" si="0"/>
        <v>46022</v>
      </c>
      <c r="G11" s="16">
        <f>E11</f>
        <v>46022</v>
      </c>
      <c r="H11" s="16">
        <f t="shared" si="0"/>
        <v>46022</v>
      </c>
      <c r="I11" s="16">
        <f t="shared" si="0"/>
        <v>46022</v>
      </c>
      <c r="J11" s="16">
        <f>I11</f>
        <v>46022</v>
      </c>
      <c r="K11" s="16">
        <f>I11</f>
        <v>46022</v>
      </c>
      <c r="L11" s="16">
        <f t="shared" si="0"/>
        <v>46022</v>
      </c>
      <c r="M11" s="119">
        <f>L11</f>
        <v>46022</v>
      </c>
    </row>
    <row r="12" spans="1:14" ht="16.5" customHeight="1" x14ac:dyDescent="0.25">
      <c r="B12" s="17"/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5</v>
      </c>
      <c r="K12" s="18" t="s">
        <v>5</v>
      </c>
      <c r="L12" s="18" t="s">
        <v>5</v>
      </c>
      <c r="M12" s="120" t="s">
        <v>5</v>
      </c>
    </row>
    <row r="13" spans="1:14" x14ac:dyDescent="0.25">
      <c r="B13" s="17" t="s">
        <v>6</v>
      </c>
      <c r="C13" s="19">
        <f t="shared" ref="C13:L13" si="1">SUM(C14:C15)</f>
        <v>1213385</v>
      </c>
      <c r="D13" s="19">
        <f t="shared" si="1"/>
        <v>280998</v>
      </c>
      <c r="E13" s="19">
        <f t="shared" si="1"/>
        <v>145715</v>
      </c>
      <c r="F13" s="19">
        <f t="shared" si="1"/>
        <v>200401</v>
      </c>
      <c r="G13" s="19">
        <f t="shared" si="1"/>
        <v>63861</v>
      </c>
      <c r="H13" s="19">
        <f t="shared" si="1"/>
        <v>392348</v>
      </c>
      <c r="I13" s="19">
        <f t="shared" si="1"/>
        <v>0</v>
      </c>
      <c r="J13" s="19">
        <f t="shared" si="1"/>
        <v>910735</v>
      </c>
      <c r="K13" s="19">
        <f t="shared" si="1"/>
        <v>184766</v>
      </c>
      <c r="L13" s="19">
        <f t="shared" si="1"/>
        <v>726078</v>
      </c>
      <c r="M13" s="121">
        <f>SUM(M14:M15)</f>
        <v>4118287</v>
      </c>
      <c r="N13" s="19">
        <f>SUM(C13:L13)-M13</f>
        <v>0</v>
      </c>
    </row>
    <row r="14" spans="1:14" outlineLevel="1" x14ac:dyDescent="0.25">
      <c r="B14" s="23" t="s">
        <v>7</v>
      </c>
      <c r="C14" s="24">
        <v>1184290</v>
      </c>
      <c r="D14" s="24">
        <v>246746</v>
      </c>
      <c r="E14" s="24">
        <v>142428</v>
      </c>
      <c r="F14" s="24">
        <v>189334</v>
      </c>
      <c r="G14" s="24">
        <v>58186</v>
      </c>
      <c r="H14" s="24">
        <v>330946</v>
      </c>
      <c r="I14" s="24">
        <v>0</v>
      </c>
      <c r="J14" s="24">
        <v>804948</v>
      </c>
      <c r="K14" s="24">
        <v>183739</v>
      </c>
      <c r="L14" s="24">
        <v>563499</v>
      </c>
      <c r="M14" s="122">
        <f>SUM(C14:L14)</f>
        <v>3704116</v>
      </c>
      <c r="N14" s="19">
        <f t="shared" ref="N14:N40" si="2">SUM(C14:L14)-M14</f>
        <v>0</v>
      </c>
    </row>
    <row r="15" spans="1:14" outlineLevel="1" x14ac:dyDescent="0.25">
      <c r="B15" s="23" t="s">
        <v>8</v>
      </c>
      <c r="C15" s="26">
        <v>29095</v>
      </c>
      <c r="D15" s="26">
        <v>34252</v>
      </c>
      <c r="E15" s="26">
        <v>3287</v>
      </c>
      <c r="F15" s="26">
        <v>11067</v>
      </c>
      <c r="G15" s="26">
        <v>5675</v>
      </c>
      <c r="H15" s="26">
        <v>61402</v>
      </c>
      <c r="I15" s="26">
        <v>0</v>
      </c>
      <c r="J15" s="26">
        <v>105787</v>
      </c>
      <c r="K15" s="26">
        <v>1027</v>
      </c>
      <c r="L15" s="26">
        <v>162579</v>
      </c>
      <c r="M15" s="122">
        <f>SUM(C15:L15)</f>
        <v>414171</v>
      </c>
      <c r="N15" s="19">
        <f t="shared" si="2"/>
        <v>0</v>
      </c>
    </row>
    <row r="16" spans="1:14" outlineLevel="1" x14ac:dyDescent="0.25">
      <c r="B16" s="17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21"/>
      <c r="N16" s="19">
        <f t="shared" si="2"/>
        <v>0</v>
      </c>
    </row>
    <row r="17" spans="1:14" x14ac:dyDescent="0.25">
      <c r="B17" s="17" t="s">
        <v>9</v>
      </c>
      <c r="C17" s="27">
        <f>SUM(C18:C20)</f>
        <v>-379361</v>
      </c>
      <c r="D17" s="27">
        <f>SUM(D18:D20)</f>
        <v>-98481</v>
      </c>
      <c r="E17" s="27">
        <f t="shared" ref="E17:M17" si="3">SUM(E18:E20)</f>
        <v>-44065</v>
      </c>
      <c r="F17" s="27">
        <f t="shared" si="3"/>
        <v>-146701</v>
      </c>
      <c r="G17" s="27">
        <f t="shared" si="3"/>
        <v>-36918</v>
      </c>
      <c r="H17" s="27">
        <f t="shared" si="3"/>
        <v>-199694</v>
      </c>
      <c r="I17" s="27">
        <f t="shared" si="3"/>
        <v>0</v>
      </c>
      <c r="J17" s="27">
        <f t="shared" si="3"/>
        <v>-176352</v>
      </c>
      <c r="K17" s="27">
        <f t="shared" si="3"/>
        <v>-49613</v>
      </c>
      <c r="L17" s="27">
        <f t="shared" si="3"/>
        <v>-263469</v>
      </c>
      <c r="M17" s="124">
        <f t="shared" si="3"/>
        <v>-1394654</v>
      </c>
      <c r="N17" s="19">
        <f t="shared" si="2"/>
        <v>0</v>
      </c>
    </row>
    <row r="18" spans="1:14" ht="15" outlineLevel="1" x14ac:dyDescent="0.25">
      <c r="A18" s="28"/>
      <c r="B18" s="23" t="s">
        <v>10</v>
      </c>
      <c r="C18" s="24">
        <v>-83990</v>
      </c>
      <c r="D18" s="24">
        <v>-29535</v>
      </c>
      <c r="E18" s="24">
        <v>-34624</v>
      </c>
      <c r="F18" s="24">
        <v>-138123</v>
      </c>
      <c r="G18" s="24">
        <v>-29580</v>
      </c>
      <c r="H18" s="24">
        <v>-158802</v>
      </c>
      <c r="I18" s="24">
        <v>0</v>
      </c>
      <c r="J18" s="24">
        <v>-143251</v>
      </c>
      <c r="K18" s="24">
        <v>-10936</v>
      </c>
      <c r="L18" s="24">
        <v>-185122</v>
      </c>
      <c r="M18" s="122">
        <f t="shared" ref="M18:M23" si="4">SUM(C18:L18)</f>
        <v>-813963</v>
      </c>
      <c r="N18" s="19">
        <f t="shared" si="2"/>
        <v>0</v>
      </c>
    </row>
    <row r="19" spans="1:14" ht="15" outlineLevel="1" x14ac:dyDescent="0.25">
      <c r="A19" s="28"/>
      <c r="B19" s="23" t="s">
        <v>168</v>
      </c>
      <c r="C19" s="26">
        <v>-295371</v>
      </c>
      <c r="D19" s="26">
        <v>-68946</v>
      </c>
      <c r="E19" s="26">
        <v>-9441</v>
      </c>
      <c r="F19" s="26">
        <v>-3667</v>
      </c>
      <c r="G19" s="26">
        <v>-4597</v>
      </c>
      <c r="H19" s="26">
        <v>-40892</v>
      </c>
      <c r="I19" s="26">
        <v>0</v>
      </c>
      <c r="J19" s="26">
        <v>-33101</v>
      </c>
      <c r="K19" s="26">
        <v>-27354</v>
      </c>
      <c r="L19" s="26">
        <v>-78347</v>
      </c>
      <c r="M19" s="122">
        <f t="shared" si="4"/>
        <v>-561716</v>
      </c>
      <c r="N19" s="19">
        <f t="shared" si="2"/>
        <v>0</v>
      </c>
    </row>
    <row r="20" spans="1:14" ht="15" outlineLevel="1" x14ac:dyDescent="0.25">
      <c r="A20" s="28"/>
      <c r="B20" s="23" t="s">
        <v>8</v>
      </c>
      <c r="C20" s="25">
        <v>0</v>
      </c>
      <c r="D20" s="25">
        <v>0</v>
      </c>
      <c r="E20" s="25">
        <v>0</v>
      </c>
      <c r="F20" s="25">
        <v>-4911</v>
      </c>
      <c r="G20" s="25">
        <v>-2741</v>
      </c>
      <c r="H20" s="25">
        <v>0</v>
      </c>
      <c r="I20" s="25">
        <v>0</v>
      </c>
      <c r="J20" s="25">
        <v>0</v>
      </c>
      <c r="K20" s="25">
        <v>-11323</v>
      </c>
      <c r="L20" s="25">
        <v>0</v>
      </c>
      <c r="M20" s="122">
        <f t="shared" si="4"/>
        <v>-18975</v>
      </c>
      <c r="N20" s="19">
        <f t="shared" si="2"/>
        <v>0</v>
      </c>
    </row>
    <row r="21" spans="1:14" s="11" customFormat="1" ht="15" x14ac:dyDescent="0.25">
      <c r="A21" s="28"/>
      <c r="B21" s="30" t="s">
        <v>12</v>
      </c>
      <c r="C21" s="31">
        <f t="shared" ref="C21:L21" si="5">C13+C17</f>
        <v>834024</v>
      </c>
      <c r="D21" s="31">
        <f t="shared" si="5"/>
        <v>182517</v>
      </c>
      <c r="E21" s="31">
        <f t="shared" si="5"/>
        <v>101650</v>
      </c>
      <c r="F21" s="31">
        <f t="shared" si="5"/>
        <v>53700</v>
      </c>
      <c r="G21" s="31">
        <f t="shared" si="5"/>
        <v>26943</v>
      </c>
      <c r="H21" s="31">
        <f t="shared" si="5"/>
        <v>192654</v>
      </c>
      <c r="I21" s="31">
        <f t="shared" si="5"/>
        <v>0</v>
      </c>
      <c r="J21" s="31">
        <f t="shared" si="5"/>
        <v>734383</v>
      </c>
      <c r="K21" s="31">
        <f t="shared" si="5"/>
        <v>135153</v>
      </c>
      <c r="L21" s="31">
        <f t="shared" si="5"/>
        <v>462609</v>
      </c>
      <c r="M21" s="122">
        <f t="shared" si="4"/>
        <v>2723633</v>
      </c>
      <c r="N21" s="19">
        <f t="shared" si="2"/>
        <v>0</v>
      </c>
    </row>
    <row r="22" spans="1:14" ht="15" x14ac:dyDescent="0.25">
      <c r="A22" s="28"/>
      <c r="B22" s="17" t="s">
        <v>13</v>
      </c>
      <c r="C22" s="25">
        <v>-163295</v>
      </c>
      <c r="D22" s="25">
        <v>-15776</v>
      </c>
      <c r="E22" s="25">
        <v>-8966</v>
      </c>
      <c r="F22" s="25">
        <v>-30903</v>
      </c>
      <c r="G22" s="25">
        <v>-4231</v>
      </c>
      <c r="H22" s="25">
        <v>-14394</v>
      </c>
      <c r="I22" s="25">
        <v>0</v>
      </c>
      <c r="J22" s="25">
        <v>-112089</v>
      </c>
      <c r="K22" s="25">
        <v>-4519</v>
      </c>
      <c r="L22" s="25">
        <v>5782</v>
      </c>
      <c r="M22" s="122">
        <f t="shared" si="4"/>
        <v>-348391</v>
      </c>
      <c r="N22" s="19">
        <f t="shared" si="2"/>
        <v>0</v>
      </c>
    </row>
    <row r="23" spans="1:14" ht="15" x14ac:dyDescent="0.25">
      <c r="A23" s="28"/>
      <c r="B23" s="32" t="s">
        <v>14</v>
      </c>
      <c r="C23" s="21">
        <f t="shared" ref="C23:L23" si="6">C21+C22</f>
        <v>670729</v>
      </c>
      <c r="D23" s="21">
        <f t="shared" si="6"/>
        <v>166741</v>
      </c>
      <c r="E23" s="21">
        <f t="shared" si="6"/>
        <v>92684</v>
      </c>
      <c r="F23" s="21">
        <f t="shared" si="6"/>
        <v>22797</v>
      </c>
      <c r="G23" s="21">
        <f t="shared" si="6"/>
        <v>22712</v>
      </c>
      <c r="H23" s="21">
        <f t="shared" si="6"/>
        <v>178260</v>
      </c>
      <c r="I23" s="21">
        <f t="shared" si="6"/>
        <v>0</v>
      </c>
      <c r="J23" s="21">
        <f t="shared" si="6"/>
        <v>622294</v>
      </c>
      <c r="K23" s="21">
        <f t="shared" si="6"/>
        <v>130634</v>
      </c>
      <c r="L23" s="21">
        <f t="shared" si="6"/>
        <v>468391</v>
      </c>
      <c r="M23" s="122">
        <f t="shared" si="4"/>
        <v>2375242</v>
      </c>
      <c r="N23" s="19">
        <f t="shared" si="2"/>
        <v>0</v>
      </c>
    </row>
    <row r="24" spans="1:14" ht="9.6" customHeight="1" x14ac:dyDescent="0.25">
      <c r="A24" s="28"/>
      <c r="B24" s="33"/>
      <c r="C24" s="19"/>
      <c r="D24" s="21"/>
      <c r="E24" s="19"/>
      <c r="F24" s="19"/>
      <c r="G24" s="19"/>
      <c r="H24" s="19"/>
      <c r="I24" s="21"/>
      <c r="J24" s="21"/>
      <c r="K24" s="21"/>
      <c r="L24" s="21"/>
      <c r="M24" s="125"/>
      <c r="N24" s="19">
        <f t="shared" si="2"/>
        <v>0</v>
      </c>
    </row>
    <row r="25" spans="1:14" s="11" customFormat="1" ht="15" x14ac:dyDescent="0.25">
      <c r="A25" s="28"/>
      <c r="B25" s="32" t="s">
        <v>15</v>
      </c>
      <c r="C25" s="27">
        <f t="shared" ref="C25:M25" si="7">SUM(C26:C28)</f>
        <v>111294</v>
      </c>
      <c r="D25" s="27">
        <f t="shared" si="7"/>
        <v>53213</v>
      </c>
      <c r="E25" s="27">
        <f t="shared" si="7"/>
        <v>5485</v>
      </c>
      <c r="F25" s="27">
        <f t="shared" si="7"/>
        <v>209333</v>
      </c>
      <c r="G25" s="27">
        <f t="shared" si="7"/>
        <v>22480</v>
      </c>
      <c r="H25" s="27">
        <f t="shared" si="7"/>
        <v>142390</v>
      </c>
      <c r="I25" s="27">
        <f t="shared" si="7"/>
        <v>0</v>
      </c>
      <c r="J25" s="27">
        <f t="shared" si="7"/>
        <v>174310</v>
      </c>
      <c r="K25" s="27">
        <f t="shared" si="7"/>
        <v>60381</v>
      </c>
      <c r="L25" s="27">
        <f t="shared" si="7"/>
        <v>131385</v>
      </c>
      <c r="M25" s="124">
        <f t="shared" si="7"/>
        <v>910271</v>
      </c>
      <c r="N25" s="19">
        <f t="shared" si="2"/>
        <v>0</v>
      </c>
    </row>
    <row r="26" spans="1:14" s="11" customFormat="1" ht="15" x14ac:dyDescent="0.25">
      <c r="A26" s="28"/>
      <c r="B26" s="34" t="s">
        <v>16</v>
      </c>
      <c r="C26" s="29">
        <v>26774</v>
      </c>
      <c r="D26" s="29">
        <v>49123</v>
      </c>
      <c r="E26" s="29">
        <v>760</v>
      </c>
      <c r="F26" s="29">
        <v>201754</v>
      </c>
      <c r="G26" s="29">
        <v>22480</v>
      </c>
      <c r="H26" s="29">
        <v>143739</v>
      </c>
      <c r="I26" s="29">
        <v>0</v>
      </c>
      <c r="J26" s="29">
        <v>162291</v>
      </c>
      <c r="K26" s="29">
        <v>46942</v>
      </c>
      <c r="L26" s="29">
        <v>63794</v>
      </c>
      <c r="M26" s="122">
        <f t="shared" ref="M26:M28" si="8">SUM(C26:L26)</f>
        <v>717657</v>
      </c>
      <c r="N26" s="19">
        <f t="shared" si="2"/>
        <v>0</v>
      </c>
    </row>
    <row r="27" spans="1:14" s="11" customFormat="1" ht="15" x14ac:dyDescent="0.25">
      <c r="A27" s="28"/>
      <c r="B27" s="34" t="s">
        <v>172</v>
      </c>
      <c r="C27" s="29">
        <v>4618</v>
      </c>
      <c r="D27" s="29">
        <v>-6030</v>
      </c>
      <c r="E27" s="29">
        <v>3257</v>
      </c>
      <c r="F27" s="29">
        <v>4430</v>
      </c>
      <c r="G27" s="29">
        <v>0</v>
      </c>
      <c r="H27" s="29">
        <v>-1349</v>
      </c>
      <c r="I27" s="29">
        <v>0</v>
      </c>
      <c r="J27" s="29">
        <v>2889</v>
      </c>
      <c r="K27" s="29">
        <v>-9</v>
      </c>
      <c r="L27" s="29">
        <v>0</v>
      </c>
      <c r="M27" s="122">
        <f t="shared" si="8"/>
        <v>7806</v>
      </c>
      <c r="N27" s="19">
        <f t="shared" si="2"/>
        <v>0</v>
      </c>
    </row>
    <row r="28" spans="1:14" s="11" customFormat="1" ht="15" x14ac:dyDescent="0.25">
      <c r="A28" s="28"/>
      <c r="B28" s="34" t="s">
        <v>17</v>
      </c>
      <c r="C28" s="29">
        <v>79902</v>
      </c>
      <c r="D28" s="29">
        <v>10120</v>
      </c>
      <c r="E28" s="29">
        <v>1468</v>
      </c>
      <c r="F28" s="29">
        <v>3149</v>
      </c>
      <c r="G28" s="29">
        <v>0</v>
      </c>
      <c r="H28" s="29">
        <v>0</v>
      </c>
      <c r="I28" s="29">
        <v>0</v>
      </c>
      <c r="J28" s="29">
        <v>9130</v>
      </c>
      <c r="K28" s="29">
        <v>13448</v>
      </c>
      <c r="L28" s="29">
        <v>67591</v>
      </c>
      <c r="M28" s="122">
        <f t="shared" si="8"/>
        <v>184808</v>
      </c>
      <c r="N28" s="19">
        <f t="shared" si="2"/>
        <v>0</v>
      </c>
    </row>
    <row r="29" spans="1:14" s="11" customFormat="1" ht="15" x14ac:dyDescent="0.25">
      <c r="A29" s="28"/>
      <c r="B29" s="32" t="s">
        <v>18</v>
      </c>
      <c r="C29" s="36">
        <f t="shared" ref="C29:M29" si="9">C23+C25</f>
        <v>782023</v>
      </c>
      <c r="D29" s="36">
        <f t="shared" si="9"/>
        <v>219954</v>
      </c>
      <c r="E29" s="36">
        <f t="shared" si="9"/>
        <v>98169</v>
      </c>
      <c r="F29" s="36">
        <f t="shared" si="9"/>
        <v>232130</v>
      </c>
      <c r="G29" s="36">
        <f t="shared" si="9"/>
        <v>45192</v>
      </c>
      <c r="H29" s="36">
        <f t="shared" si="9"/>
        <v>320650</v>
      </c>
      <c r="I29" s="36">
        <f t="shared" si="9"/>
        <v>0</v>
      </c>
      <c r="J29" s="36">
        <f t="shared" si="9"/>
        <v>796604</v>
      </c>
      <c r="K29" s="36">
        <f t="shared" si="9"/>
        <v>191015</v>
      </c>
      <c r="L29" s="36">
        <f t="shared" si="9"/>
        <v>599776</v>
      </c>
      <c r="M29" s="126">
        <f t="shared" si="9"/>
        <v>3285513</v>
      </c>
      <c r="N29" s="19">
        <f t="shared" si="2"/>
        <v>0</v>
      </c>
    </row>
    <row r="30" spans="1:14" s="11" customFormat="1" ht="12" customHeight="1" x14ac:dyDescent="0.25">
      <c r="A30" s="28"/>
      <c r="B30" s="34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21"/>
      <c r="N30" s="19">
        <f t="shared" si="2"/>
        <v>0</v>
      </c>
    </row>
    <row r="31" spans="1:14" s="11" customFormat="1" ht="15" x14ac:dyDescent="0.25">
      <c r="A31" s="28"/>
      <c r="B31" s="32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1"/>
      <c r="N31" s="19">
        <f t="shared" si="2"/>
        <v>0</v>
      </c>
    </row>
    <row r="32" spans="1:14" s="11" customFormat="1" ht="15" customHeight="1" x14ac:dyDescent="0.25">
      <c r="A32" s="28"/>
      <c r="B32" s="37" t="s">
        <v>20</v>
      </c>
      <c r="C32" s="39">
        <v>-24060</v>
      </c>
      <c r="D32" s="39">
        <v>-10736</v>
      </c>
      <c r="E32" s="39">
        <v>-3417</v>
      </c>
      <c r="F32" s="39">
        <v>-13449</v>
      </c>
      <c r="G32" s="39">
        <v>-4536</v>
      </c>
      <c r="H32" s="39">
        <v>-11145</v>
      </c>
      <c r="I32" s="39">
        <v>0</v>
      </c>
      <c r="J32" s="39">
        <v>-24720</v>
      </c>
      <c r="K32" s="39">
        <v>-11015</v>
      </c>
      <c r="L32" s="39">
        <v>-25883</v>
      </c>
      <c r="M32" s="122">
        <f>SUM(C32:L32)</f>
        <v>-128961</v>
      </c>
      <c r="N32" s="19">
        <f t="shared" si="2"/>
        <v>0</v>
      </c>
    </row>
    <row r="33" spans="1:14" s="11" customFormat="1" ht="11.45" customHeight="1" x14ac:dyDescent="0.25">
      <c r="A33" s="28"/>
      <c r="B33" s="17" t="s">
        <v>21</v>
      </c>
      <c r="C33" s="39">
        <v>-345474</v>
      </c>
      <c r="D33" s="39">
        <v>-145977</v>
      </c>
      <c r="E33" s="39">
        <v>-85719</v>
      </c>
      <c r="F33" s="39">
        <v>-114803</v>
      </c>
      <c r="G33" s="39">
        <v>-42617.9</v>
      </c>
      <c r="H33" s="39">
        <v>-150466</v>
      </c>
      <c r="I33" s="39">
        <v>0</v>
      </c>
      <c r="J33" s="39">
        <v>-451571</v>
      </c>
      <c r="K33" s="39">
        <v>-158687</v>
      </c>
      <c r="L33" s="39">
        <v>-347416</v>
      </c>
      <c r="M33" s="122">
        <f>SUM(C33:L33)</f>
        <v>-1842730.9</v>
      </c>
      <c r="N33" s="19">
        <f t="shared" si="2"/>
        <v>0</v>
      </c>
    </row>
    <row r="34" spans="1:14" s="11" customFormat="1" ht="10.5" customHeight="1" x14ac:dyDescent="0.25">
      <c r="A34" s="28"/>
      <c r="B34" s="40" t="s">
        <v>22</v>
      </c>
      <c r="C34" s="41">
        <f>SUM(C32:C33)</f>
        <v>-369534</v>
      </c>
      <c r="D34" s="41">
        <f t="shared" ref="D34:M34" si="10">SUM(D32:D33)</f>
        <v>-156713</v>
      </c>
      <c r="E34" s="41">
        <f t="shared" si="10"/>
        <v>-89136</v>
      </c>
      <c r="F34" s="41">
        <f t="shared" si="10"/>
        <v>-128252</v>
      </c>
      <c r="G34" s="41">
        <f t="shared" si="10"/>
        <v>-47153.9</v>
      </c>
      <c r="H34" s="41">
        <f t="shared" si="10"/>
        <v>-161611</v>
      </c>
      <c r="I34" s="41">
        <f t="shared" si="10"/>
        <v>0</v>
      </c>
      <c r="J34" s="41">
        <f t="shared" si="10"/>
        <v>-476291</v>
      </c>
      <c r="K34" s="41">
        <f t="shared" si="10"/>
        <v>-169702</v>
      </c>
      <c r="L34" s="41">
        <f t="shared" si="10"/>
        <v>-373299</v>
      </c>
      <c r="M34" s="128">
        <f t="shared" si="10"/>
        <v>-1971691.9</v>
      </c>
      <c r="N34" s="19">
        <f t="shared" si="2"/>
        <v>0</v>
      </c>
    </row>
    <row r="35" spans="1:14" s="11" customFormat="1" ht="12.75" customHeight="1" x14ac:dyDescent="0.25">
      <c r="A35" s="28"/>
      <c r="B35" s="1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127"/>
      <c r="N35" s="19">
        <f t="shared" si="2"/>
        <v>0</v>
      </c>
    </row>
    <row r="36" spans="1:14" s="11" customFormat="1" ht="15" x14ac:dyDescent="0.25">
      <c r="A36" s="28"/>
      <c r="B36" s="40" t="s">
        <v>23</v>
      </c>
      <c r="C36" s="35">
        <f t="shared" ref="C36:M36" si="11">C29+C34</f>
        <v>412489</v>
      </c>
      <c r="D36" s="35">
        <f t="shared" si="11"/>
        <v>63241</v>
      </c>
      <c r="E36" s="35">
        <f t="shared" si="11"/>
        <v>9033</v>
      </c>
      <c r="F36" s="35">
        <f t="shared" si="11"/>
        <v>103878</v>
      </c>
      <c r="G36" s="35">
        <f t="shared" si="11"/>
        <v>-1961.9000000000015</v>
      </c>
      <c r="H36" s="35">
        <f t="shared" si="11"/>
        <v>159039</v>
      </c>
      <c r="I36" s="35">
        <f t="shared" si="11"/>
        <v>0</v>
      </c>
      <c r="J36" s="35">
        <f t="shared" si="11"/>
        <v>320313</v>
      </c>
      <c r="K36" s="35">
        <f t="shared" si="11"/>
        <v>21313</v>
      </c>
      <c r="L36" s="35">
        <f t="shared" si="11"/>
        <v>226477</v>
      </c>
      <c r="M36" s="129">
        <f t="shared" si="11"/>
        <v>1313821.1000000001</v>
      </c>
      <c r="N36" s="19">
        <f t="shared" si="2"/>
        <v>0</v>
      </c>
    </row>
    <row r="37" spans="1:14" s="11" customFormat="1" ht="15" x14ac:dyDescent="0.25">
      <c r="A37" s="28"/>
      <c r="B37" s="40" t="s">
        <v>24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/>
      <c r="K37" s="42">
        <v>0</v>
      </c>
      <c r="L37" s="42">
        <v>0</v>
      </c>
      <c r="M37" s="122">
        <f>SUM(C37:L37)</f>
        <v>0</v>
      </c>
      <c r="N37" s="19">
        <f t="shared" si="2"/>
        <v>0</v>
      </c>
    </row>
    <row r="38" spans="1:14" s="11" customFormat="1" ht="15" x14ac:dyDescent="0.25">
      <c r="A38" s="28"/>
      <c r="B38" s="40" t="s">
        <v>25</v>
      </c>
      <c r="C38" s="21">
        <f>SUM(C36:C37)</f>
        <v>412489</v>
      </c>
      <c r="D38" s="21">
        <f t="shared" ref="D38:L38" si="12">SUM(D36:D37)</f>
        <v>63241</v>
      </c>
      <c r="E38" s="21">
        <f t="shared" si="12"/>
        <v>9033</v>
      </c>
      <c r="F38" s="21">
        <f t="shared" si="12"/>
        <v>103878</v>
      </c>
      <c r="G38" s="21">
        <f t="shared" si="12"/>
        <v>-1961.9000000000015</v>
      </c>
      <c r="H38" s="21">
        <f t="shared" si="12"/>
        <v>159039</v>
      </c>
      <c r="I38" s="21">
        <f t="shared" si="12"/>
        <v>0</v>
      </c>
      <c r="J38" s="21">
        <f t="shared" si="12"/>
        <v>320313</v>
      </c>
      <c r="K38" s="21">
        <f t="shared" si="12"/>
        <v>21313</v>
      </c>
      <c r="L38" s="21">
        <f t="shared" si="12"/>
        <v>226477</v>
      </c>
      <c r="M38" s="122">
        <f>SUM(C38:L38)</f>
        <v>1313821.1000000001</v>
      </c>
      <c r="N38" s="19">
        <f t="shared" si="2"/>
        <v>0</v>
      </c>
    </row>
    <row r="39" spans="1:14" ht="15" x14ac:dyDescent="0.25">
      <c r="A39" s="28"/>
      <c r="B39" s="17" t="s">
        <v>26</v>
      </c>
      <c r="C39" s="26">
        <v>-122044</v>
      </c>
      <c r="D39" s="26">
        <v>-18973</v>
      </c>
      <c r="E39" s="26">
        <v>0</v>
      </c>
      <c r="F39" s="26">
        <v>-36212</v>
      </c>
      <c r="G39" s="26">
        <v>0</v>
      </c>
      <c r="H39" s="26">
        <v>-47713</v>
      </c>
      <c r="I39" s="26">
        <v>0</v>
      </c>
      <c r="J39" s="26">
        <v>-17272</v>
      </c>
      <c r="K39" s="26">
        <v>-3324</v>
      </c>
      <c r="L39" s="26">
        <v>0</v>
      </c>
      <c r="M39" s="122">
        <f>SUM(C39:L39)</f>
        <v>-245538</v>
      </c>
      <c r="N39" s="19">
        <f t="shared" si="2"/>
        <v>0</v>
      </c>
    </row>
    <row r="40" spans="1:14" s="11" customFormat="1" ht="15" x14ac:dyDescent="0.25">
      <c r="A40" s="28"/>
      <c r="B40" s="40" t="s">
        <v>27</v>
      </c>
      <c r="C40" s="43">
        <f>SUM(C38:C39)</f>
        <v>290445</v>
      </c>
      <c r="D40" s="43">
        <f t="shared" ref="D40:M40" si="13">SUM(D38:D39)</f>
        <v>44268</v>
      </c>
      <c r="E40" s="43">
        <f t="shared" si="13"/>
        <v>9033</v>
      </c>
      <c r="F40" s="43">
        <f t="shared" si="13"/>
        <v>67666</v>
      </c>
      <c r="G40" s="43">
        <f t="shared" si="13"/>
        <v>-1961.9000000000015</v>
      </c>
      <c r="H40" s="43">
        <f t="shared" si="13"/>
        <v>111326</v>
      </c>
      <c r="I40" s="43">
        <f t="shared" si="13"/>
        <v>0</v>
      </c>
      <c r="J40" s="43">
        <f t="shared" si="13"/>
        <v>303041</v>
      </c>
      <c r="K40" s="43">
        <f t="shared" si="13"/>
        <v>17989</v>
      </c>
      <c r="L40" s="43">
        <f t="shared" si="13"/>
        <v>226477</v>
      </c>
      <c r="M40" s="130">
        <f t="shared" si="13"/>
        <v>1068283.1000000001</v>
      </c>
      <c r="N40" s="19">
        <f t="shared" si="2"/>
        <v>0</v>
      </c>
    </row>
    <row r="41" spans="1:14" s="11" customFormat="1" ht="15" x14ac:dyDescent="0.25">
      <c r="A41" s="28"/>
      <c r="B41" s="40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129"/>
    </row>
    <row r="42" spans="1:14" s="11" customFormat="1" ht="15" x14ac:dyDescent="0.25">
      <c r="A42" s="28"/>
      <c r="B42" s="32"/>
      <c r="D42" s="47"/>
      <c r="I42" s="47"/>
      <c r="J42" s="47"/>
      <c r="K42" s="47"/>
      <c r="L42" s="47"/>
      <c r="M42" s="131"/>
    </row>
    <row r="43" spans="1:14" s="11" customFormat="1" ht="15.75" thickBot="1" x14ac:dyDescent="0.3">
      <c r="A43" s="28"/>
      <c r="B43" s="49" t="s">
        <v>28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17"/>
    </row>
    <row r="44" spans="1:14" s="11" customFormat="1" ht="15.75" thickTop="1" x14ac:dyDescent="0.25">
      <c r="A44" s="28"/>
      <c r="B44" s="50"/>
      <c r="C44" s="16">
        <f>C11</f>
        <v>46022</v>
      </c>
      <c r="D44" s="16">
        <f>C44</f>
        <v>46022</v>
      </c>
      <c r="E44" s="16">
        <f t="shared" ref="E44:L44" si="14">D44</f>
        <v>46022</v>
      </c>
      <c r="F44" s="16">
        <f t="shared" si="14"/>
        <v>46022</v>
      </c>
      <c r="G44" s="16">
        <f>E44</f>
        <v>46022</v>
      </c>
      <c r="H44" s="16">
        <f t="shared" si="14"/>
        <v>46022</v>
      </c>
      <c r="I44" s="16">
        <f t="shared" si="14"/>
        <v>46022</v>
      </c>
      <c r="J44" s="16">
        <f t="shared" si="14"/>
        <v>46022</v>
      </c>
      <c r="K44" s="16">
        <f t="shared" si="14"/>
        <v>46022</v>
      </c>
      <c r="L44" s="16">
        <f t="shared" si="14"/>
        <v>46022</v>
      </c>
      <c r="M44" s="119">
        <f>L44</f>
        <v>46022</v>
      </c>
    </row>
    <row r="45" spans="1:14" s="11" customFormat="1" ht="15" x14ac:dyDescent="0.25">
      <c r="A45" s="28"/>
      <c r="B45" s="50"/>
      <c r="C45" s="18" t="s">
        <v>5</v>
      </c>
      <c r="D45" s="18" t="s">
        <v>5</v>
      </c>
      <c r="E45" s="18" t="s">
        <v>5</v>
      </c>
      <c r="F45" s="18" t="s">
        <v>5</v>
      </c>
      <c r="G45" s="18" t="s">
        <v>5</v>
      </c>
      <c r="H45" s="18" t="s">
        <v>5</v>
      </c>
      <c r="I45" s="18" t="s">
        <v>5</v>
      </c>
      <c r="J45" s="18" t="s">
        <v>5</v>
      </c>
      <c r="K45" s="18" t="s">
        <v>5</v>
      </c>
      <c r="L45" s="18" t="s">
        <v>5</v>
      </c>
      <c r="M45" s="120" t="s">
        <v>5</v>
      </c>
    </row>
    <row r="46" spans="1:14" s="11" customFormat="1" ht="18.75" customHeight="1" x14ac:dyDescent="0.25">
      <c r="A46" s="28"/>
      <c r="B46" s="32" t="s">
        <v>29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32"/>
    </row>
    <row r="47" spans="1:14" s="11" customFormat="1" ht="13.5" customHeight="1" x14ac:dyDescent="0.25">
      <c r="A47" s="28"/>
      <c r="B47" s="34" t="s">
        <v>72</v>
      </c>
      <c r="C47" s="39">
        <v>327258</v>
      </c>
      <c r="D47" s="39">
        <v>111280</v>
      </c>
      <c r="E47" s="39">
        <v>52859</v>
      </c>
      <c r="F47" s="39">
        <v>368478</v>
      </c>
      <c r="G47" s="39">
        <v>2272</v>
      </c>
      <c r="H47" s="39">
        <v>144092</v>
      </c>
      <c r="I47" s="39">
        <v>0</v>
      </c>
      <c r="J47" s="39">
        <v>371320</v>
      </c>
      <c r="K47" s="39">
        <v>38021</v>
      </c>
      <c r="L47" s="39">
        <v>718423</v>
      </c>
      <c r="M47" s="122">
        <f t="shared" ref="M47:M53" si="15">SUM(C47:L47)</f>
        <v>2134003</v>
      </c>
      <c r="N47" s="35">
        <f>M47-'[3]Previous Quarter'!M47</f>
        <v>731084</v>
      </c>
    </row>
    <row r="48" spans="1:14" s="11" customFormat="1" ht="13.5" customHeight="1" x14ac:dyDescent="0.25">
      <c r="A48" s="28"/>
      <c r="B48" s="34" t="s">
        <v>73</v>
      </c>
      <c r="C48" s="39">
        <v>0</v>
      </c>
      <c r="D48" s="39">
        <v>112138</v>
      </c>
      <c r="E48" s="39">
        <v>16777</v>
      </c>
      <c r="F48" s="39">
        <v>0</v>
      </c>
      <c r="G48" s="39">
        <v>34898</v>
      </c>
      <c r="H48" s="39">
        <v>306566</v>
      </c>
      <c r="I48" s="39">
        <v>0</v>
      </c>
      <c r="J48" s="39">
        <v>730890</v>
      </c>
      <c r="K48" s="39">
        <v>0</v>
      </c>
      <c r="L48" s="39">
        <v>499256</v>
      </c>
      <c r="M48" s="122">
        <f t="shared" si="15"/>
        <v>1700525</v>
      </c>
      <c r="N48" s="35">
        <f>M48-'[3]Previous Quarter'!M49</f>
        <v>67144</v>
      </c>
    </row>
    <row r="49" spans="1:15" s="11" customFormat="1" ht="13.5" customHeight="1" x14ac:dyDescent="0.25">
      <c r="A49" s="28"/>
      <c r="B49" s="34" t="s">
        <v>74</v>
      </c>
      <c r="C49" s="39">
        <v>4226890</v>
      </c>
      <c r="D49" s="39">
        <v>517216</v>
      </c>
      <c r="E49" s="39">
        <v>219217</v>
      </c>
      <c r="F49" s="39">
        <v>801655</v>
      </c>
      <c r="G49" s="39">
        <v>255472</v>
      </c>
      <c r="H49" s="39">
        <v>1152891</v>
      </c>
      <c r="I49" s="39">
        <v>0</v>
      </c>
      <c r="J49" s="39">
        <v>2544603</v>
      </c>
      <c r="K49" s="39">
        <v>363886</v>
      </c>
      <c r="L49" s="39">
        <v>2502493</v>
      </c>
      <c r="M49" s="122">
        <f t="shared" si="15"/>
        <v>12584323</v>
      </c>
      <c r="N49" s="35">
        <f>M49-'[3]Previous Quarter'!M51</f>
        <v>4189827</v>
      </c>
    </row>
    <row r="50" spans="1:15" ht="15" x14ac:dyDescent="0.25">
      <c r="A50" s="28"/>
      <c r="B50" s="34" t="s">
        <v>75</v>
      </c>
      <c r="C50" s="39">
        <v>-400079</v>
      </c>
      <c r="D50" s="39">
        <v>-26593</v>
      </c>
      <c r="E50" s="39">
        <v>-29570</v>
      </c>
      <c r="F50" s="39">
        <v>-48640</v>
      </c>
      <c r="G50" s="39">
        <v>-46001</v>
      </c>
      <c r="H50" s="39">
        <v>-84106</v>
      </c>
      <c r="I50" s="39">
        <v>0</v>
      </c>
      <c r="J50" s="39">
        <v>-200124</v>
      </c>
      <c r="K50" s="39">
        <v>-4333</v>
      </c>
      <c r="L50" s="39">
        <v>-65891</v>
      </c>
      <c r="M50" s="122">
        <f t="shared" si="15"/>
        <v>-905337</v>
      </c>
      <c r="N50" s="35">
        <f>M50-'[3]Previous Quarter'!M52</f>
        <v>-183263</v>
      </c>
    </row>
    <row r="51" spans="1:15" ht="15" x14ac:dyDescent="0.25">
      <c r="A51" s="28"/>
      <c r="B51" s="34" t="s">
        <v>176</v>
      </c>
      <c r="C51" s="246">
        <f>SUM(C49:C50)</f>
        <v>3826811</v>
      </c>
      <c r="D51" s="246">
        <f t="shared" ref="D51:M51" si="16">SUM(D49:D50)</f>
        <v>490623</v>
      </c>
      <c r="E51" s="246">
        <f t="shared" si="16"/>
        <v>189647</v>
      </c>
      <c r="F51" s="246">
        <f t="shared" si="16"/>
        <v>753015</v>
      </c>
      <c r="G51" s="246">
        <f t="shared" si="16"/>
        <v>209471</v>
      </c>
      <c r="H51" s="246">
        <f t="shared" si="16"/>
        <v>1068785</v>
      </c>
      <c r="I51" s="246">
        <f t="shared" si="16"/>
        <v>0</v>
      </c>
      <c r="J51" s="246">
        <f t="shared" si="16"/>
        <v>2344479</v>
      </c>
      <c r="K51" s="246">
        <f t="shared" si="16"/>
        <v>359553</v>
      </c>
      <c r="L51" s="246">
        <f t="shared" si="16"/>
        <v>2436602</v>
      </c>
      <c r="M51" s="122">
        <f t="shared" si="16"/>
        <v>11678986</v>
      </c>
      <c r="N51" s="19" t="e">
        <f>M51-#REF!</f>
        <v>#REF!</v>
      </c>
      <c r="O51" s="35"/>
    </row>
    <row r="52" spans="1:15" ht="15" x14ac:dyDescent="0.25">
      <c r="A52" s="28"/>
      <c r="B52" s="17" t="s">
        <v>77</v>
      </c>
      <c r="C52" s="39">
        <v>47219</v>
      </c>
      <c r="D52" s="39">
        <v>16993</v>
      </c>
      <c r="E52" s="39">
        <v>14582</v>
      </c>
      <c r="F52" s="39">
        <v>16703</v>
      </c>
      <c r="G52" s="39">
        <v>2819</v>
      </c>
      <c r="H52" s="39">
        <v>19347</v>
      </c>
      <c r="I52" s="39">
        <v>0</v>
      </c>
      <c r="J52" s="39">
        <v>138744</v>
      </c>
      <c r="K52" s="39">
        <v>33444</v>
      </c>
      <c r="L52" s="39">
        <v>422555</v>
      </c>
      <c r="M52" s="122">
        <f t="shared" si="15"/>
        <v>712406</v>
      </c>
      <c r="N52" s="35">
        <f>M52-'[3]Previous Quarter'!M56</f>
        <v>222661</v>
      </c>
    </row>
    <row r="53" spans="1:15" ht="15" outlineLevel="1" x14ac:dyDescent="0.25">
      <c r="A53" s="28"/>
      <c r="B53" s="17" t="s">
        <v>78</v>
      </c>
      <c r="C53" s="39">
        <v>143420</v>
      </c>
      <c r="D53" s="39">
        <v>88120</v>
      </c>
      <c r="E53" s="39">
        <v>38762</v>
      </c>
      <c r="F53" s="39">
        <v>104246</v>
      </c>
      <c r="G53" s="39">
        <v>28339</v>
      </c>
      <c r="H53" s="39">
        <v>102452</v>
      </c>
      <c r="I53" s="39">
        <v>0</v>
      </c>
      <c r="J53" s="39">
        <v>405786</v>
      </c>
      <c r="K53" s="39">
        <v>46618</v>
      </c>
      <c r="L53" s="39">
        <v>355720</v>
      </c>
      <c r="M53" s="122">
        <f t="shared" si="15"/>
        <v>1313463</v>
      </c>
      <c r="N53" s="35">
        <f>M53-'[3]Previous Quarter'!M57</f>
        <v>665834</v>
      </c>
    </row>
    <row r="54" spans="1:15" ht="13.5" thickBot="1" x14ac:dyDescent="0.3">
      <c r="B54" s="32" t="s">
        <v>30</v>
      </c>
      <c r="C54" s="51">
        <f>SUM(C47:C50)+C52+C53</f>
        <v>4344708</v>
      </c>
      <c r="D54" s="51">
        <f t="shared" ref="D54:M54" si="17">SUM(D47:D50)+D52+D53</f>
        <v>819154</v>
      </c>
      <c r="E54" s="51">
        <f t="shared" si="17"/>
        <v>312627</v>
      </c>
      <c r="F54" s="51">
        <f t="shared" si="17"/>
        <v>1242442</v>
      </c>
      <c r="G54" s="51">
        <f t="shared" si="17"/>
        <v>277799</v>
      </c>
      <c r="H54" s="51">
        <f t="shared" si="17"/>
        <v>1641242</v>
      </c>
      <c r="I54" s="51">
        <f t="shared" si="17"/>
        <v>0</v>
      </c>
      <c r="J54" s="51">
        <f t="shared" si="17"/>
        <v>3991219</v>
      </c>
      <c r="K54" s="51">
        <f t="shared" si="17"/>
        <v>477636</v>
      </c>
      <c r="L54" s="51">
        <f t="shared" si="17"/>
        <v>4432556</v>
      </c>
      <c r="M54" s="51">
        <f t="shared" si="17"/>
        <v>17539383</v>
      </c>
      <c r="N54" s="35">
        <f>M54-'[3]Previous Quarter'!M58</f>
        <v>5112705</v>
      </c>
    </row>
    <row r="55" spans="1:15" ht="13.5" thickTop="1" x14ac:dyDescent="0.25">
      <c r="B55" s="1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23"/>
      <c r="N55" s="35">
        <f>M55-'[3]Previous Quarter'!M59</f>
        <v>0</v>
      </c>
    </row>
    <row r="56" spans="1:15" x14ac:dyDescent="0.25">
      <c r="B56" s="32" t="s">
        <v>31</v>
      </c>
      <c r="C56" s="48"/>
      <c r="D56" s="46"/>
      <c r="E56" s="48"/>
      <c r="F56" s="48"/>
      <c r="G56" s="48"/>
      <c r="H56" s="48">
        <v>0</v>
      </c>
      <c r="I56" s="46"/>
      <c r="J56" s="46"/>
      <c r="K56" s="46"/>
      <c r="L56" s="46"/>
      <c r="M56" s="133"/>
      <c r="N56" s="35">
        <f>M56-'[3]Previous Quarter'!M60</f>
        <v>0</v>
      </c>
    </row>
    <row r="57" spans="1:15" ht="15" x14ac:dyDescent="0.25">
      <c r="B57" t="s">
        <v>188</v>
      </c>
      <c r="C57" s="48">
        <f>SUM(C58:C59)</f>
        <v>660900</v>
      </c>
      <c r="D57" s="48">
        <f t="shared" ref="D57:M57" si="18">SUM(D58:D59)</f>
        <v>237734</v>
      </c>
      <c r="E57" s="48">
        <f t="shared" si="18"/>
        <v>185985</v>
      </c>
      <c r="F57" s="48">
        <f t="shared" si="18"/>
        <v>927899</v>
      </c>
      <c r="G57" s="48">
        <f t="shared" si="18"/>
        <v>227066</v>
      </c>
      <c r="H57" s="48">
        <f t="shared" si="18"/>
        <v>824446</v>
      </c>
      <c r="I57" s="48">
        <f t="shared" si="18"/>
        <v>0</v>
      </c>
      <c r="J57" s="48">
        <f t="shared" si="18"/>
        <v>3005236</v>
      </c>
      <c r="K57" s="48">
        <f t="shared" si="18"/>
        <v>45688</v>
      </c>
      <c r="L57" s="48">
        <f t="shared" si="18"/>
        <v>2058258</v>
      </c>
      <c r="M57" s="296">
        <f t="shared" si="18"/>
        <v>8173212</v>
      </c>
      <c r="N57" s="35"/>
    </row>
    <row r="58" spans="1:15" x14ac:dyDescent="0.25">
      <c r="B58" s="17" t="s">
        <v>76</v>
      </c>
      <c r="C58" s="266">
        <v>660900</v>
      </c>
      <c r="D58" s="266">
        <v>237734</v>
      </c>
      <c r="E58" s="266">
        <v>185985</v>
      </c>
      <c r="F58" s="266">
        <v>925933</v>
      </c>
      <c r="G58" s="266">
        <v>204827</v>
      </c>
      <c r="H58" s="266">
        <v>824446</v>
      </c>
      <c r="I58" s="266">
        <v>0</v>
      </c>
      <c r="J58" s="266">
        <v>720006</v>
      </c>
      <c r="K58" s="266">
        <v>45688</v>
      </c>
      <c r="L58" s="266">
        <v>2058258</v>
      </c>
      <c r="M58" s="139">
        <f t="shared" ref="M58:M59" si="19">SUM(C58:L58)</f>
        <v>5863777</v>
      </c>
      <c r="N58" s="35">
        <f>M58-'[3]Previous Quarter'!M61</f>
        <v>2237211</v>
      </c>
    </row>
    <row r="59" spans="1:15" x14ac:dyDescent="0.25">
      <c r="B59" s="17" t="s">
        <v>177</v>
      </c>
      <c r="C59" s="267">
        <v>0</v>
      </c>
      <c r="D59" s="267">
        <v>0</v>
      </c>
      <c r="E59" s="267">
        <v>0</v>
      </c>
      <c r="F59" s="267">
        <v>1966</v>
      </c>
      <c r="G59" s="267">
        <v>22239</v>
      </c>
      <c r="H59" s="267">
        <v>0</v>
      </c>
      <c r="I59" s="267">
        <v>0</v>
      </c>
      <c r="J59" s="267">
        <v>2285230</v>
      </c>
      <c r="K59" s="267">
        <v>0</v>
      </c>
      <c r="L59" s="267">
        <v>0</v>
      </c>
      <c r="M59" s="272">
        <f t="shared" si="19"/>
        <v>2309435</v>
      </c>
      <c r="N59" s="35">
        <f>M59-'[3]Previous Quarter'!M62</f>
        <v>459861</v>
      </c>
    </row>
    <row r="60" spans="1:15" x14ac:dyDescent="0.25">
      <c r="B60" s="17" t="s">
        <v>185</v>
      </c>
      <c r="C60" s="39">
        <v>0</v>
      </c>
      <c r="D60" s="39">
        <v>48100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107274</v>
      </c>
      <c r="M60" s="122">
        <f>SUM(C60:L60)</f>
        <v>155374</v>
      </c>
      <c r="N60" s="19" t="e">
        <f>M60-#REF!</f>
        <v>#REF!</v>
      </c>
      <c r="O60" s="35"/>
    </row>
    <row r="61" spans="1:15" x14ac:dyDescent="0.25">
      <c r="B61" s="17" t="s">
        <v>79</v>
      </c>
      <c r="C61" s="39">
        <v>605759</v>
      </c>
      <c r="D61" s="39">
        <v>0</v>
      </c>
      <c r="E61" s="39">
        <v>0</v>
      </c>
      <c r="F61" s="39">
        <v>0</v>
      </c>
      <c r="G61" s="39">
        <v>0</v>
      </c>
      <c r="H61" s="39">
        <v>163335</v>
      </c>
      <c r="I61" s="39">
        <v>0</v>
      </c>
      <c r="J61" s="39">
        <v>0</v>
      </c>
      <c r="K61" s="39">
        <v>20644</v>
      </c>
      <c r="L61" s="39">
        <v>590255</v>
      </c>
      <c r="M61" s="122">
        <f t="shared" ref="M61:M65" si="20">SUM(C61:L61)</f>
        <v>1379993</v>
      </c>
      <c r="N61" s="19" t="e">
        <f>M61-#REF!</f>
        <v>#REF!</v>
      </c>
      <c r="O61" s="35"/>
    </row>
    <row r="62" spans="1:15" x14ac:dyDescent="0.25">
      <c r="B62" s="17" t="s">
        <v>182</v>
      </c>
      <c r="C62" s="39">
        <v>584757</v>
      </c>
      <c r="D62" s="39">
        <v>258072</v>
      </c>
      <c r="E62" s="39">
        <v>26106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112154</v>
      </c>
      <c r="L62" s="39">
        <v>0</v>
      </c>
      <c r="M62" s="122">
        <f t="shared" si="20"/>
        <v>981089</v>
      </c>
      <c r="N62" s="19" t="e">
        <f>M62-#REF!</f>
        <v>#REF!</v>
      </c>
      <c r="O62" s="35"/>
    </row>
    <row r="63" spans="1:15" x14ac:dyDescent="0.25">
      <c r="B63" s="37" t="s">
        <v>80</v>
      </c>
      <c r="C63" s="39">
        <v>448861</v>
      </c>
      <c r="D63" s="39">
        <v>96968</v>
      </c>
      <c r="E63" s="39">
        <v>14941</v>
      </c>
      <c r="F63" s="39">
        <v>108813</v>
      </c>
      <c r="G63" s="39">
        <v>25786</v>
      </c>
      <c r="H63" s="39">
        <v>117558</v>
      </c>
      <c r="I63" s="39">
        <v>0</v>
      </c>
      <c r="J63" s="39">
        <v>523172</v>
      </c>
      <c r="K63" s="39">
        <v>112544</v>
      </c>
      <c r="L63" s="39">
        <v>124796</v>
      </c>
      <c r="M63" s="122">
        <f>SUM(C63:L63)</f>
        <v>1573439</v>
      </c>
      <c r="N63" s="19" t="e">
        <f>M63-#REF!</f>
        <v>#REF!</v>
      </c>
      <c r="O63" s="35"/>
    </row>
    <row r="64" spans="1:15" ht="13.5" customHeight="1" x14ac:dyDescent="0.25">
      <c r="B64" s="17" t="s">
        <v>32</v>
      </c>
      <c r="C64" s="39">
        <v>187197</v>
      </c>
      <c r="D64" s="39">
        <v>0</v>
      </c>
      <c r="E64" s="39">
        <v>26534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86791</v>
      </c>
      <c r="L64" s="39">
        <v>191719</v>
      </c>
      <c r="M64" s="122">
        <f t="shared" si="20"/>
        <v>492241</v>
      </c>
      <c r="N64" s="19" t="e">
        <f>M64-#REF!</f>
        <v>#REF!</v>
      </c>
      <c r="O64" s="35"/>
    </row>
    <row r="65" spans="2:15" x14ac:dyDescent="0.25">
      <c r="B65" s="37" t="s">
        <v>179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122">
        <f t="shared" si="20"/>
        <v>0</v>
      </c>
      <c r="N65" s="19" t="e">
        <f>M65-#REF!</f>
        <v>#REF!</v>
      </c>
      <c r="O65" s="35"/>
    </row>
    <row r="66" spans="2:15" x14ac:dyDescent="0.25">
      <c r="B66" s="32" t="s">
        <v>33</v>
      </c>
      <c r="C66" s="55">
        <f>C57+SUM(C60:C65)</f>
        <v>2487474</v>
      </c>
      <c r="D66" s="55">
        <f t="shared" ref="D66:M66" si="21">D57+SUM(D60:D65)</f>
        <v>640874</v>
      </c>
      <c r="E66" s="55">
        <f t="shared" si="21"/>
        <v>253566</v>
      </c>
      <c r="F66" s="55">
        <f t="shared" si="21"/>
        <v>1036712</v>
      </c>
      <c r="G66" s="55">
        <f t="shared" si="21"/>
        <v>252852</v>
      </c>
      <c r="H66" s="55">
        <f t="shared" si="21"/>
        <v>1105339</v>
      </c>
      <c r="I66" s="55">
        <f t="shared" si="21"/>
        <v>0</v>
      </c>
      <c r="J66" s="55">
        <f t="shared" si="21"/>
        <v>3528408</v>
      </c>
      <c r="K66" s="55">
        <f t="shared" si="21"/>
        <v>377821</v>
      </c>
      <c r="L66" s="55">
        <f t="shared" si="21"/>
        <v>3072302</v>
      </c>
      <c r="M66" s="134">
        <f t="shared" si="21"/>
        <v>12755348</v>
      </c>
      <c r="N66" s="35">
        <f>M66-'[3]Previous Quarter'!M68</f>
        <v>3355683</v>
      </c>
    </row>
    <row r="67" spans="2:15" x14ac:dyDescent="0.25">
      <c r="B67" s="17"/>
      <c r="M67" s="122">
        <f t="shared" ref="M67" si="22">SUM(C67:L67)</f>
        <v>0</v>
      </c>
      <c r="N67" s="35">
        <f>M67-'[3]Previous Quarter'!M69</f>
        <v>0</v>
      </c>
    </row>
    <row r="68" spans="2:15" x14ac:dyDescent="0.25">
      <c r="B68" s="17" t="s">
        <v>34</v>
      </c>
      <c r="C68" s="39">
        <v>2425</v>
      </c>
      <c r="D68" s="39">
        <v>35691</v>
      </c>
      <c r="E68" s="39">
        <v>123771</v>
      </c>
      <c r="F68" s="39">
        <v>62765</v>
      </c>
      <c r="G68" s="39">
        <v>4000</v>
      </c>
      <c r="H68" s="39">
        <v>15000</v>
      </c>
      <c r="I68" s="39">
        <v>0</v>
      </c>
      <c r="J68" s="39">
        <v>1038383</v>
      </c>
      <c r="K68" s="39">
        <v>49838</v>
      </c>
      <c r="L68" s="39">
        <v>191678</v>
      </c>
      <c r="M68" s="122">
        <f t="shared" ref="M68:M74" si="23">SUM(C68:L68)</f>
        <v>1523551</v>
      </c>
      <c r="N68" s="19" t="e">
        <f>M68-#REF!</f>
        <v>#REF!</v>
      </c>
      <c r="O68" s="35"/>
    </row>
    <row r="69" spans="2:15" x14ac:dyDescent="0.25">
      <c r="B69" s="17" t="s">
        <v>35</v>
      </c>
      <c r="C69" s="39">
        <v>0</v>
      </c>
      <c r="D69" s="39">
        <v>35691</v>
      </c>
      <c r="E69" s="39">
        <v>0</v>
      </c>
      <c r="F69" s="39">
        <v>0</v>
      </c>
      <c r="G69" s="39">
        <v>69518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122">
        <f t="shared" si="23"/>
        <v>105209</v>
      </c>
      <c r="N69" s="19" t="e">
        <f>M69-#REF!</f>
        <v>#REF!</v>
      </c>
      <c r="O69" s="35"/>
    </row>
    <row r="70" spans="2:15" x14ac:dyDescent="0.25">
      <c r="B70" s="17" t="s">
        <v>36</v>
      </c>
      <c r="C70" s="39">
        <v>0</v>
      </c>
      <c r="D70" s="39">
        <v>0</v>
      </c>
      <c r="E70" s="39">
        <v>0</v>
      </c>
      <c r="F70" s="39">
        <v>0</v>
      </c>
      <c r="G70" s="39">
        <v>10000</v>
      </c>
      <c r="H70" s="39">
        <v>0</v>
      </c>
      <c r="I70" s="39">
        <v>0</v>
      </c>
      <c r="J70" s="39">
        <v>0</v>
      </c>
      <c r="K70" s="39">
        <v>104574</v>
      </c>
      <c r="L70" s="39">
        <v>0</v>
      </c>
      <c r="M70" s="122">
        <f t="shared" si="23"/>
        <v>114574</v>
      </c>
      <c r="N70" s="19" t="e">
        <f>M70-#REF!</f>
        <v>#REF!</v>
      </c>
      <c r="O70" s="35"/>
    </row>
    <row r="71" spans="2:15" x14ac:dyDescent="0.25">
      <c r="B71" s="17" t="s">
        <v>184</v>
      </c>
      <c r="C71" s="39">
        <v>0</v>
      </c>
      <c r="D71" s="39">
        <v>2824</v>
      </c>
      <c r="E71" s="39">
        <v>0</v>
      </c>
      <c r="F71" s="39">
        <v>0</v>
      </c>
      <c r="G71" s="39">
        <v>-53684</v>
      </c>
      <c r="H71" s="39">
        <v>0</v>
      </c>
      <c r="I71" s="39">
        <v>0</v>
      </c>
      <c r="J71" s="39">
        <v>0</v>
      </c>
      <c r="K71" s="39">
        <v>0</v>
      </c>
      <c r="L71" s="39">
        <v>67237</v>
      </c>
      <c r="M71" s="122">
        <f t="shared" si="23"/>
        <v>16377</v>
      </c>
      <c r="N71" s="19" t="e">
        <f>M71-#REF!</f>
        <v>#REF!</v>
      </c>
      <c r="O71" s="35"/>
    </row>
    <row r="72" spans="2:15" x14ac:dyDescent="0.25">
      <c r="B72" s="17" t="s">
        <v>180</v>
      </c>
      <c r="C72" s="39">
        <v>-162394</v>
      </c>
      <c r="D72" s="39">
        <v>19449</v>
      </c>
      <c r="E72" s="39">
        <v>0</v>
      </c>
      <c r="F72" s="39">
        <v>0</v>
      </c>
      <c r="G72" s="39">
        <v>-4887</v>
      </c>
      <c r="H72" s="39">
        <v>0</v>
      </c>
      <c r="I72" s="39">
        <v>0</v>
      </c>
      <c r="J72" s="39">
        <v>35586</v>
      </c>
      <c r="K72" s="39">
        <v>0</v>
      </c>
      <c r="L72" s="39">
        <v>1000</v>
      </c>
      <c r="M72" s="122">
        <f t="shared" si="23"/>
        <v>-111246</v>
      </c>
      <c r="N72" s="19" t="e">
        <f>M72-#REF!</f>
        <v>#REF!</v>
      </c>
      <c r="O72" s="35"/>
    </row>
    <row r="73" spans="2:15" x14ac:dyDescent="0.25">
      <c r="B73" s="17" t="s">
        <v>181</v>
      </c>
      <c r="C73" s="39">
        <v>-319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122">
        <f t="shared" si="23"/>
        <v>-319</v>
      </c>
      <c r="N73" s="19" t="e">
        <f>M73-#REF!</f>
        <v>#REF!</v>
      </c>
      <c r="O73" s="35"/>
    </row>
    <row r="74" spans="2:15" x14ac:dyDescent="0.25">
      <c r="B74" s="17" t="s">
        <v>37</v>
      </c>
      <c r="C74" s="39">
        <v>2017522</v>
      </c>
      <c r="D74" s="39">
        <v>84625</v>
      </c>
      <c r="E74" s="39">
        <v>-64710</v>
      </c>
      <c r="F74" s="39">
        <v>142965</v>
      </c>
      <c r="G74" s="39">
        <v>0</v>
      </c>
      <c r="H74" s="39">
        <v>520903</v>
      </c>
      <c r="I74" s="39">
        <v>0</v>
      </c>
      <c r="J74" s="39">
        <v>-611158</v>
      </c>
      <c r="K74" s="39">
        <v>-54597</v>
      </c>
      <c r="L74" s="39">
        <v>1100339</v>
      </c>
      <c r="M74" s="122">
        <f t="shared" si="23"/>
        <v>3135889</v>
      </c>
      <c r="N74" s="19" t="e">
        <f>M74-#REF!</f>
        <v>#REF!</v>
      </c>
      <c r="O74" s="35"/>
    </row>
    <row r="75" spans="2:15" ht="15.75" customHeight="1" x14ac:dyDescent="0.25">
      <c r="B75" s="23"/>
      <c r="C75" s="60"/>
      <c r="D75" s="19"/>
      <c r="E75" s="60"/>
      <c r="F75" s="60"/>
      <c r="G75" s="60"/>
      <c r="H75" s="60"/>
      <c r="I75" s="19"/>
      <c r="J75" s="19"/>
      <c r="K75" s="19"/>
      <c r="L75" s="19"/>
      <c r="M75" s="122">
        <f t="shared" ref="M75" si="24">C75+D75+E75+G75+H75+I75+K75+L75</f>
        <v>0</v>
      </c>
      <c r="N75" s="35">
        <f>M75-'[3]Previous Quarter'!M77</f>
        <v>0</v>
      </c>
    </row>
    <row r="76" spans="2:15" x14ac:dyDescent="0.25">
      <c r="B76" s="40" t="s">
        <v>38</v>
      </c>
      <c r="C76" s="61">
        <f>SUM(C68:C74)</f>
        <v>1857234</v>
      </c>
      <c r="D76" s="61">
        <f t="shared" ref="D76:M76" si="25">SUM(D68:D74)</f>
        <v>178280</v>
      </c>
      <c r="E76" s="61">
        <f t="shared" si="25"/>
        <v>59061</v>
      </c>
      <c r="F76" s="61">
        <f t="shared" si="25"/>
        <v>205730</v>
      </c>
      <c r="G76" s="61">
        <f t="shared" si="25"/>
        <v>24947</v>
      </c>
      <c r="H76" s="61">
        <f t="shared" si="25"/>
        <v>535903</v>
      </c>
      <c r="I76" s="61">
        <f t="shared" si="25"/>
        <v>0</v>
      </c>
      <c r="J76" s="61">
        <f t="shared" si="25"/>
        <v>462811</v>
      </c>
      <c r="K76" s="61">
        <f t="shared" si="25"/>
        <v>99815</v>
      </c>
      <c r="L76" s="61">
        <f t="shared" si="25"/>
        <v>1360254</v>
      </c>
      <c r="M76" s="135">
        <f t="shared" si="25"/>
        <v>4784035</v>
      </c>
      <c r="N76" s="19" t="e">
        <f>M76-#REF!</f>
        <v>#REF!</v>
      </c>
      <c r="O76" s="35"/>
    </row>
    <row r="77" spans="2:15" x14ac:dyDescent="0.25">
      <c r="B77" s="17"/>
      <c r="D77" s="19"/>
      <c r="I77" s="19"/>
      <c r="J77" s="19"/>
      <c r="K77" s="19"/>
      <c r="L77" s="19"/>
      <c r="M77" s="121"/>
      <c r="N77" s="35">
        <f>M77-'[3]Previous Quarter'!M80</f>
        <v>0</v>
      </c>
    </row>
    <row r="78" spans="2:15" ht="13.5" thickBot="1" x14ac:dyDescent="0.3">
      <c r="B78" s="32" t="s">
        <v>39</v>
      </c>
      <c r="C78" s="62">
        <f>C66+C76</f>
        <v>4344708</v>
      </c>
      <c r="D78" s="62">
        <f t="shared" ref="D78:M78" si="26">D66+D76</f>
        <v>819154</v>
      </c>
      <c r="E78" s="62">
        <f t="shared" si="26"/>
        <v>312627</v>
      </c>
      <c r="F78" s="62">
        <f t="shared" si="26"/>
        <v>1242442</v>
      </c>
      <c r="G78" s="62">
        <f t="shared" si="26"/>
        <v>277799</v>
      </c>
      <c r="H78" s="62">
        <f t="shared" si="26"/>
        <v>1641242</v>
      </c>
      <c r="I78" s="62">
        <f t="shared" si="26"/>
        <v>0</v>
      </c>
      <c r="J78" s="62">
        <f t="shared" si="26"/>
        <v>3991219</v>
      </c>
      <c r="K78" s="62">
        <f t="shared" si="26"/>
        <v>477636</v>
      </c>
      <c r="L78" s="62">
        <f t="shared" si="26"/>
        <v>4432556</v>
      </c>
      <c r="M78" s="136">
        <f t="shared" si="26"/>
        <v>17539383</v>
      </c>
      <c r="N78" s="35">
        <f>M78-'[3]Previous Quarter'!M81</f>
        <v>5112705</v>
      </c>
    </row>
    <row r="79" spans="2:15" ht="13.5" thickTop="1" x14ac:dyDescent="0.25">
      <c r="B79" s="17"/>
      <c r="C79" s="64">
        <f t="shared" ref="C79:M79" si="27">C54-C78</f>
        <v>0</v>
      </c>
      <c r="D79" s="64">
        <f t="shared" si="27"/>
        <v>0</v>
      </c>
      <c r="E79" s="64">
        <f t="shared" si="27"/>
        <v>0</v>
      </c>
      <c r="F79" s="64">
        <f t="shared" si="27"/>
        <v>0</v>
      </c>
      <c r="G79" s="64">
        <f t="shared" si="27"/>
        <v>0</v>
      </c>
      <c r="H79" s="64">
        <f t="shared" si="27"/>
        <v>0</v>
      </c>
      <c r="I79" s="64">
        <f t="shared" si="27"/>
        <v>0</v>
      </c>
      <c r="J79" s="64">
        <f t="shared" si="27"/>
        <v>0</v>
      </c>
      <c r="K79" s="64">
        <f t="shared" si="27"/>
        <v>0</v>
      </c>
      <c r="L79" s="64">
        <f t="shared" si="27"/>
        <v>0</v>
      </c>
      <c r="M79" s="137">
        <f t="shared" si="27"/>
        <v>0</v>
      </c>
      <c r="N79" s="35">
        <f>M79-'[3]Previous Quarter'!M82</f>
        <v>0</v>
      </c>
    </row>
    <row r="80" spans="2:15" x14ac:dyDescent="0.25">
      <c r="B80" s="17" t="s">
        <v>40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/>
      <c r="K80" s="58">
        <v>0</v>
      </c>
      <c r="L80" s="58">
        <v>0</v>
      </c>
      <c r="M80" s="122">
        <f>SUM(C80:L80)</f>
        <v>0</v>
      </c>
      <c r="N80" s="35">
        <f>M80-'[3]Previous Quarter'!M83</f>
        <v>0</v>
      </c>
    </row>
    <row r="81" spans="2:14" x14ac:dyDescent="0.25">
      <c r="B81" s="17" t="s">
        <v>41</v>
      </c>
      <c r="C81" s="54"/>
      <c r="D81" s="54"/>
      <c r="E81" s="54"/>
      <c r="F81" s="54"/>
      <c r="G81" s="54"/>
      <c r="H81" s="54"/>
      <c r="I81" s="54">
        <v>0</v>
      </c>
      <c r="J81" s="54"/>
      <c r="K81" s="54"/>
      <c r="L81" s="54"/>
      <c r="M81" s="122">
        <f>SUM(C81:L81)</f>
        <v>0</v>
      </c>
      <c r="N81" s="35">
        <f>M81-'[3]Previous Quarter'!M84</f>
        <v>0</v>
      </c>
    </row>
    <row r="82" spans="2:14" ht="13.5" thickBot="1" x14ac:dyDescent="0.3">
      <c r="B82" s="40" t="s">
        <v>42</v>
      </c>
      <c r="C82" s="66">
        <f t="shared" ref="C82:M82" si="28">SUM(C80:C81)</f>
        <v>0</v>
      </c>
      <c r="D82" s="66">
        <f t="shared" si="28"/>
        <v>0</v>
      </c>
      <c r="E82" s="67">
        <f t="shared" si="28"/>
        <v>0</v>
      </c>
      <c r="F82" s="67">
        <f t="shared" si="28"/>
        <v>0</v>
      </c>
      <c r="G82" s="67">
        <f t="shared" si="28"/>
        <v>0</v>
      </c>
      <c r="H82" s="67">
        <f t="shared" si="28"/>
        <v>0</v>
      </c>
      <c r="I82" s="67">
        <f t="shared" si="28"/>
        <v>0</v>
      </c>
      <c r="J82" s="67">
        <f t="shared" si="28"/>
        <v>0</v>
      </c>
      <c r="K82" s="67">
        <f t="shared" si="28"/>
        <v>0</v>
      </c>
      <c r="L82" s="67">
        <f t="shared" si="28"/>
        <v>0</v>
      </c>
      <c r="M82" s="138">
        <f t="shared" si="28"/>
        <v>0</v>
      </c>
      <c r="N82" s="35">
        <f>M82-'[3]Previous Quarter'!M85</f>
        <v>0</v>
      </c>
    </row>
    <row r="83" spans="2:14" ht="13.5" hidden="1" thickTop="1" x14ac:dyDescent="0.25">
      <c r="B83" s="40" t="s">
        <v>43</v>
      </c>
      <c r="C83" s="65"/>
      <c r="D83" s="20"/>
      <c r="E83" s="65"/>
      <c r="F83" s="65"/>
      <c r="G83" s="65"/>
      <c r="H83" s="22"/>
      <c r="I83" s="20"/>
      <c r="J83" s="20"/>
      <c r="K83" s="20"/>
      <c r="L83" s="20"/>
      <c r="M83" s="123" t="e">
        <f>C83+D83+E83+G83+H83+I83+#REF!+K83+L83+#REF!+#REF!+#REF!+#REF!+#REF!+#REF!+#REF!+#REF!</f>
        <v>#REF!</v>
      </c>
      <c r="N83" s="35" t="e">
        <f>M83-'[3]Previous Quarter'!M86</f>
        <v>#REF!</v>
      </c>
    </row>
    <row r="84" spans="2:14" ht="13.5" hidden="1" thickTop="1" x14ac:dyDescent="0.25">
      <c r="B84" s="40" t="s">
        <v>44</v>
      </c>
      <c r="C84" s="65"/>
      <c r="D84" s="20"/>
      <c r="E84" s="65"/>
      <c r="F84" s="65"/>
      <c r="G84" s="65"/>
      <c r="H84" s="65"/>
      <c r="I84" s="20"/>
      <c r="J84" s="20"/>
      <c r="K84" s="20"/>
      <c r="L84" s="20"/>
      <c r="M84" s="123" t="e">
        <f>C84+D84+E84+G84+H84+I84+#REF!+K84+L84+#REF!+#REF!+#REF!+#REF!+#REF!+#REF!+#REF!+#REF!</f>
        <v>#REF!</v>
      </c>
      <c r="N84" s="35" t="e">
        <f>M84-'[3]Previous Quarter'!M87</f>
        <v>#REF!</v>
      </c>
    </row>
    <row r="85" spans="2:14" ht="13.5" hidden="1" thickTop="1" x14ac:dyDescent="0.25">
      <c r="B85" s="40" t="s">
        <v>45</v>
      </c>
      <c r="C85" s="20">
        <f t="shared" ref="C85:M85" si="29">SUM(C86:C87)</f>
        <v>0</v>
      </c>
      <c r="D85" s="20">
        <f t="shared" si="29"/>
        <v>0</v>
      </c>
      <c r="E85" s="20">
        <f t="shared" si="29"/>
        <v>0</v>
      </c>
      <c r="F85" s="20"/>
      <c r="G85" s="20">
        <f t="shared" si="29"/>
        <v>0</v>
      </c>
      <c r="H85" s="20">
        <f t="shared" si="29"/>
        <v>0</v>
      </c>
      <c r="I85" s="20">
        <f t="shared" si="29"/>
        <v>0</v>
      </c>
      <c r="J85" s="20"/>
      <c r="K85" s="20">
        <f t="shared" si="29"/>
        <v>0</v>
      </c>
      <c r="L85" s="20">
        <f t="shared" si="29"/>
        <v>0</v>
      </c>
      <c r="M85" s="123" t="e">
        <f t="shared" si="29"/>
        <v>#REF!</v>
      </c>
      <c r="N85" s="35" t="e">
        <f>M85-'[3]Previous Quarter'!M88</f>
        <v>#REF!</v>
      </c>
    </row>
    <row r="86" spans="2:14" ht="13.5" hidden="1" thickTop="1" x14ac:dyDescent="0.25">
      <c r="B86" s="68" t="s">
        <v>46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139" t="e">
        <f>C86+D86+E86+G86+H86+I86+#REF!+K86+L86+#REF!+#REF!+#REF!+#REF!+#REF!+#REF!+#REF!+#REF!</f>
        <v>#REF!</v>
      </c>
      <c r="N86" s="35" t="e">
        <f>M86-'[3]Previous Quarter'!M89</f>
        <v>#REF!</v>
      </c>
    </row>
    <row r="87" spans="2:14" ht="13.5" hidden="1" thickTop="1" x14ac:dyDescent="0.25">
      <c r="B87" s="68" t="s">
        <v>47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140" t="e">
        <f>C87+D87+E87+G87+H87+I87+#REF!+K87+L87+#REF!+#REF!+#REF!+#REF!+#REF!+#REF!+#REF!+#REF!</f>
        <v>#REF!</v>
      </c>
      <c r="N87" s="35" t="e">
        <f>M87-'[3]Previous Quarter'!M90</f>
        <v>#REF!</v>
      </c>
    </row>
    <row r="88" spans="2:14" ht="13.5" hidden="1" thickTop="1" x14ac:dyDescent="0.25">
      <c r="B88" s="68" t="s">
        <v>48</v>
      </c>
      <c r="C88" s="65"/>
      <c r="D88" s="20"/>
      <c r="E88" s="65"/>
      <c r="F88" s="65"/>
      <c r="G88" s="65">
        <v>0</v>
      </c>
      <c r="H88" s="65"/>
      <c r="I88" s="20"/>
      <c r="J88" s="20"/>
      <c r="K88" s="20"/>
      <c r="L88" s="20"/>
      <c r="M88" s="123"/>
      <c r="N88" s="35">
        <f>M88-'[3]Previous Quarter'!M91</f>
        <v>0</v>
      </c>
    </row>
    <row r="89" spans="2:14" ht="13.5" hidden="1" thickTop="1" x14ac:dyDescent="0.25">
      <c r="B89" s="71" t="s">
        <v>49</v>
      </c>
      <c r="C89" s="65"/>
      <c r="D89" s="20"/>
      <c r="E89" s="65"/>
      <c r="F89" s="65"/>
      <c r="G89" s="65"/>
      <c r="H89" s="65"/>
      <c r="I89" s="20"/>
      <c r="J89" s="20"/>
      <c r="K89" s="20"/>
      <c r="L89" s="20"/>
      <c r="M89" s="123"/>
      <c r="N89" s="35">
        <f>M89-'[3]Previous Quarter'!M92</f>
        <v>0</v>
      </c>
    </row>
    <row r="90" spans="2:14" ht="13.5" hidden="1" thickTop="1" x14ac:dyDescent="0.25">
      <c r="B90" s="3" t="s">
        <v>50</v>
      </c>
      <c r="D90" s="20"/>
      <c r="I90" s="20"/>
      <c r="J90" s="20"/>
      <c r="K90" s="20"/>
      <c r="L90" s="20"/>
      <c r="M90" s="123"/>
      <c r="N90" s="35">
        <f>M90-'[3]Previous Quarter'!M93</f>
        <v>0</v>
      </c>
    </row>
    <row r="91" spans="2:14" ht="13.5" hidden="1" thickTop="1" x14ac:dyDescent="0.25">
      <c r="B91" s="72" t="s">
        <v>51</v>
      </c>
      <c r="C91" s="73"/>
      <c r="D91" s="73"/>
      <c r="E91" s="73"/>
      <c r="F91" s="73"/>
      <c r="G91" s="73"/>
      <c r="H91" s="73"/>
      <c r="I91" s="72"/>
      <c r="J91" s="72"/>
      <c r="K91" s="74"/>
      <c r="L91" s="73"/>
      <c r="M91" s="124" t="e">
        <f>C91+D91+E91+G91+H91+I91+#REF!+K91+L91+#REF!+#REF!+#REF!+#REF!+#REF!+#REF!+#REF!+#REF!</f>
        <v>#REF!</v>
      </c>
      <c r="N91" s="35" t="e">
        <f>M91-'[3]Previous Quarter'!M94</f>
        <v>#REF!</v>
      </c>
    </row>
    <row r="92" spans="2:14" ht="13.5" hidden="1" thickTop="1" x14ac:dyDescent="0.25">
      <c r="N92" s="35">
        <f>M92-'[3]Previous Quarter'!M95</f>
        <v>0</v>
      </c>
    </row>
    <row r="93" spans="2:14" ht="13.5" thickTop="1" x14ac:dyDescent="0.25">
      <c r="B93" s="56"/>
      <c r="C93" s="56"/>
      <c r="D93" s="75"/>
      <c r="E93" s="56"/>
      <c r="F93" s="56"/>
      <c r="G93" s="56"/>
      <c r="H93" s="56"/>
      <c r="I93" s="76"/>
      <c r="J93" s="76"/>
      <c r="K93" s="75"/>
      <c r="L93" s="75"/>
      <c r="M93" s="141"/>
      <c r="N93" s="35">
        <f>M93-'[3]Previous Quarter'!M96</f>
        <v>0</v>
      </c>
    </row>
    <row r="94" spans="2:14" x14ac:dyDescent="0.25">
      <c r="B94" s="10" t="s">
        <v>52</v>
      </c>
      <c r="C94" s="10"/>
      <c r="D94" s="77"/>
      <c r="E94" s="10"/>
      <c r="F94" s="10"/>
      <c r="G94" s="10"/>
      <c r="H94" s="10"/>
      <c r="I94" s="77"/>
      <c r="J94" s="77"/>
      <c r="K94" s="77"/>
      <c r="L94" s="77"/>
      <c r="M94" s="142"/>
      <c r="N94" s="35">
        <f>M94-'[3]Previous Quarter'!M97</f>
        <v>0</v>
      </c>
    </row>
    <row r="95" spans="2:14" x14ac:dyDescent="0.25">
      <c r="B95" s="56" t="s">
        <v>53</v>
      </c>
      <c r="C95" s="78">
        <v>4082707</v>
      </c>
      <c r="D95" s="78">
        <v>436937</v>
      </c>
      <c r="E95" s="78">
        <v>209813</v>
      </c>
      <c r="F95" s="78">
        <v>940695</v>
      </c>
      <c r="G95" s="78">
        <v>229633</v>
      </c>
      <c r="H95" s="78">
        <v>1255888</v>
      </c>
      <c r="I95" s="78">
        <v>0</v>
      </c>
      <c r="J95" s="78">
        <v>2916752</v>
      </c>
      <c r="K95" s="78">
        <v>412846</v>
      </c>
      <c r="L95" s="78">
        <v>2931746</v>
      </c>
      <c r="M95" s="122">
        <f>SUM(C95:L95)</f>
        <v>13417017</v>
      </c>
      <c r="N95" s="35">
        <f>M95-'[3]Previous Quarter'!M98</f>
        <v>4730043</v>
      </c>
    </row>
    <row r="96" spans="2:14" x14ac:dyDescent="0.25">
      <c r="B96" s="52"/>
      <c r="C96" s="52"/>
      <c r="D96" s="79"/>
      <c r="E96" s="52"/>
      <c r="F96" s="52"/>
      <c r="G96" s="53"/>
      <c r="H96" s="52"/>
      <c r="I96" s="80"/>
      <c r="J96" s="80"/>
      <c r="K96" s="80"/>
      <c r="L96" s="81"/>
      <c r="M96" s="143"/>
      <c r="N96" s="35">
        <f>M96-'[3]Previous Quarter'!M99</f>
        <v>0</v>
      </c>
    </row>
    <row r="97" spans="2:14" ht="13.5" thickBot="1" x14ac:dyDescent="0.3">
      <c r="B97" s="82" t="s">
        <v>54</v>
      </c>
      <c r="C97" s="83"/>
      <c r="D97" s="84"/>
      <c r="E97" s="83"/>
      <c r="F97" s="83"/>
      <c r="G97" s="83"/>
      <c r="H97" s="83"/>
      <c r="I97" s="84"/>
      <c r="J97" s="84"/>
      <c r="K97" s="84"/>
      <c r="L97" s="84"/>
      <c r="M97" s="144"/>
      <c r="N97" s="35">
        <f>M97-'[3]Previous Quarter'!M100</f>
        <v>0</v>
      </c>
    </row>
    <row r="98" spans="2:14" x14ac:dyDescent="0.25">
      <c r="B98" s="85" t="s">
        <v>55</v>
      </c>
      <c r="C98" s="86">
        <v>1833344</v>
      </c>
      <c r="D98" s="86">
        <v>176708</v>
      </c>
      <c r="E98" s="86">
        <v>49251</v>
      </c>
      <c r="F98" s="86">
        <v>205419</v>
      </c>
      <c r="G98" s="86">
        <v>24162</v>
      </c>
      <c r="H98" s="86">
        <v>521158</v>
      </c>
      <c r="I98" s="86">
        <v>0</v>
      </c>
      <c r="J98" s="86">
        <v>409789</v>
      </c>
      <c r="K98" s="86">
        <v>92139</v>
      </c>
      <c r="L98" s="86">
        <v>1276513</v>
      </c>
      <c r="M98" s="122">
        <f>SUM(C98:L98)</f>
        <v>4588483</v>
      </c>
      <c r="N98" s="35">
        <f>M98-'[3]Previous Quarter'!M101</f>
        <v>1753657</v>
      </c>
    </row>
    <row r="99" spans="2:14" ht="13.5" thickBot="1" x14ac:dyDescent="0.3">
      <c r="B99" s="87" t="s">
        <v>56</v>
      </c>
      <c r="C99" s="88">
        <v>0</v>
      </c>
      <c r="D99" s="88">
        <v>0</v>
      </c>
      <c r="E99" s="88">
        <v>2866</v>
      </c>
      <c r="F99" s="88">
        <v>0</v>
      </c>
      <c r="G99" s="88">
        <v>6000</v>
      </c>
      <c r="H99" s="88">
        <v>0</v>
      </c>
      <c r="I99" s="88">
        <v>0</v>
      </c>
      <c r="J99" s="88">
        <v>14120</v>
      </c>
      <c r="K99" s="88">
        <v>0</v>
      </c>
      <c r="L99" s="88">
        <v>26895</v>
      </c>
      <c r="M99" s="122">
        <f>SUM(C99:L99)</f>
        <v>49881</v>
      </c>
      <c r="N99" s="35">
        <f>M99-'[3]Previous Quarter'!M102</f>
        <v>6420</v>
      </c>
    </row>
    <row r="100" spans="2:14" ht="13.5" thickBot="1" x14ac:dyDescent="0.3">
      <c r="B100" s="89" t="s">
        <v>57</v>
      </c>
      <c r="C100" s="90">
        <f t="shared" ref="C100:M100" si="30">SUM(C98:C99)</f>
        <v>1833344</v>
      </c>
      <c r="D100" s="90">
        <f t="shared" si="30"/>
        <v>176708</v>
      </c>
      <c r="E100" s="90">
        <f t="shared" si="30"/>
        <v>52117</v>
      </c>
      <c r="F100" s="90">
        <f t="shared" si="30"/>
        <v>205419</v>
      </c>
      <c r="G100" s="90">
        <f t="shared" si="30"/>
        <v>30162</v>
      </c>
      <c r="H100" s="90">
        <f t="shared" si="30"/>
        <v>521158</v>
      </c>
      <c r="I100" s="90">
        <f t="shared" si="30"/>
        <v>0</v>
      </c>
      <c r="J100" s="90">
        <f t="shared" ref="J100" si="31">SUM(J98:J99)</f>
        <v>423909</v>
      </c>
      <c r="K100" s="90">
        <f t="shared" si="30"/>
        <v>92139</v>
      </c>
      <c r="L100" s="90">
        <f t="shared" si="30"/>
        <v>1303408</v>
      </c>
      <c r="M100" s="145">
        <f t="shared" si="30"/>
        <v>4638364</v>
      </c>
      <c r="N100" s="35">
        <f>M100-'[3]Previous Quarter'!M103</f>
        <v>1760077</v>
      </c>
    </row>
    <row r="101" spans="2:14" ht="14.45" hidden="1" customHeight="1" x14ac:dyDescent="0.25">
      <c r="N101" s="35">
        <f>M101-'[3]Previous Quarter'!M104</f>
        <v>0</v>
      </c>
    </row>
    <row r="102" spans="2:14" ht="14.45" hidden="1" customHeight="1" x14ac:dyDescent="0.25">
      <c r="N102" s="35">
        <f>M102-'[3]Previous Quarter'!M105</f>
        <v>0</v>
      </c>
    </row>
    <row r="103" spans="2:14" ht="13.9" hidden="1" customHeight="1" x14ac:dyDescent="0.25">
      <c r="B103" s="91" t="s">
        <v>58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146"/>
      <c r="N103" s="35">
        <f>M103-'[3]Previous Quarter'!M106</f>
        <v>0</v>
      </c>
    </row>
    <row r="104" spans="2:14" ht="13.9" hidden="1" customHeight="1" x14ac:dyDescent="0.25">
      <c r="B104" s="93" t="s">
        <v>59</v>
      </c>
      <c r="C104" s="20" t="e">
        <f>IF(#REF!&gt;#REF!,#REF!-#REF!,0)</f>
        <v>#REF!</v>
      </c>
      <c r="D104" s="20" t="e">
        <f>IF(#REF!&gt;#REF!,#REF!-#REF!,0)</f>
        <v>#REF!</v>
      </c>
      <c r="E104" s="20" t="e">
        <f>IF(#REF!&gt;#REF!,#REF!-#REF!,0)</f>
        <v>#REF!</v>
      </c>
      <c r="F104" s="20"/>
      <c r="G104" s="20" t="e">
        <f>IF(#REF!&gt;#REF!,#REF!-#REF!,0)</f>
        <v>#REF!</v>
      </c>
      <c r="H104" s="20" t="e">
        <f>IF(#REF!&gt;#REF!,#REF!-#REF!,0)</f>
        <v>#REF!</v>
      </c>
      <c r="I104" s="20" t="e">
        <f>IF(#REF!&gt;#REF!,#REF!-#REF!,0)</f>
        <v>#REF!</v>
      </c>
      <c r="J104" s="20" t="e">
        <f>IF(#REF!&gt;#REF!,#REF!-#REF!,0)</f>
        <v>#REF!</v>
      </c>
      <c r="K104" s="20" t="e">
        <f>IF(#REF!&gt;#REF!,#REF!-#REF!,0)</f>
        <v>#REF!</v>
      </c>
      <c r="L104" s="20" t="e">
        <f>IF(#REF!&gt;#REF!,#REF!-#REF!,0)</f>
        <v>#REF!</v>
      </c>
      <c r="M104" s="123" t="e">
        <f>IF(#REF!&gt;#REF!,#REF!-#REF!,0)</f>
        <v>#REF!</v>
      </c>
      <c r="N104" s="35" t="e">
        <f>M104-'[3]Previous Quarter'!M107</f>
        <v>#REF!</v>
      </c>
    </row>
    <row r="105" spans="2:14" ht="13.9" hidden="1" customHeight="1" x14ac:dyDescent="0.25">
      <c r="B105" s="93" t="s">
        <v>60</v>
      </c>
      <c r="C105" s="94" t="e">
        <f>'[1]Scenarios and assumptions'!#REF!</f>
        <v>#REF!</v>
      </c>
      <c r="D105" s="94" t="e">
        <f>'[1]Scenarios and assumptions'!#REF!</f>
        <v>#REF!</v>
      </c>
      <c r="E105" s="94" t="e">
        <f>'[1]Scenarios and assumptions'!#REF!</f>
        <v>#REF!</v>
      </c>
      <c r="F105" s="94"/>
      <c r="G105" s="94" t="e">
        <f>'[1]Scenarios and assumptions'!#REF!</f>
        <v>#REF!</v>
      </c>
      <c r="H105" s="94" t="e">
        <f>'[1]Scenarios and assumptions'!#REF!</f>
        <v>#REF!</v>
      </c>
      <c r="I105" s="94" t="str">
        <f>'[1]Scenarios and assumptions'!B36</f>
        <v>Target dividend payout ratio</v>
      </c>
      <c r="J105" s="94">
        <f>'[1]Scenarios and assumptions'!C36</f>
        <v>0.34999990463256836</v>
      </c>
      <c r="K105" s="94">
        <f>'[1]Scenarios and assumptions'!H36</f>
        <v>0</v>
      </c>
      <c r="L105" s="94">
        <f>'[1]Scenarios and assumptions'!K36</f>
        <v>0</v>
      </c>
      <c r="M105" s="147">
        <f>'[1]Scenarios and assumptions'!AI36</f>
        <v>0</v>
      </c>
      <c r="N105" s="35">
        <f>M105-'[3]Previous Quarter'!M108</f>
        <v>0</v>
      </c>
    </row>
    <row r="106" spans="2:14" ht="13.9" hidden="1" customHeight="1" x14ac:dyDescent="0.25">
      <c r="B106" s="93" t="s">
        <v>61</v>
      </c>
      <c r="C106" s="95" t="e">
        <f t="shared" ref="C106:M106" si="32">C104*C105</f>
        <v>#REF!</v>
      </c>
      <c r="D106" s="95" t="e">
        <f t="shared" si="32"/>
        <v>#REF!</v>
      </c>
      <c r="E106" s="95" t="e">
        <f t="shared" si="32"/>
        <v>#REF!</v>
      </c>
      <c r="F106" s="95"/>
      <c r="G106" s="95" t="e">
        <f t="shared" si="32"/>
        <v>#REF!</v>
      </c>
      <c r="H106" s="95" t="e">
        <f t="shared" si="32"/>
        <v>#REF!</v>
      </c>
      <c r="I106" s="95" t="e">
        <f t="shared" si="32"/>
        <v>#REF!</v>
      </c>
      <c r="J106" s="95" t="e">
        <f t="shared" si="32"/>
        <v>#REF!</v>
      </c>
      <c r="K106" s="95" t="e">
        <f t="shared" si="32"/>
        <v>#REF!</v>
      </c>
      <c r="L106" s="95" t="e">
        <f t="shared" si="32"/>
        <v>#REF!</v>
      </c>
      <c r="M106" s="148" t="e">
        <f t="shared" si="32"/>
        <v>#REF!</v>
      </c>
      <c r="N106" s="35" t="e">
        <f>M106-'[3]Previous Quarter'!M109</f>
        <v>#REF!</v>
      </c>
    </row>
    <row r="107" spans="2:14" ht="13.9" hidden="1" customHeight="1" x14ac:dyDescent="0.25">
      <c r="N107" s="35">
        <f>M107-'[3]Previous Quarter'!M110</f>
        <v>0</v>
      </c>
    </row>
    <row r="108" spans="2:14" ht="13.9" hidden="1" customHeight="1" x14ac:dyDescent="0.25">
      <c r="C108" s="46" t="e">
        <f>(#REF!+#REF!)/#REF!</f>
        <v>#REF!</v>
      </c>
      <c r="D108" s="46" t="e">
        <f>(#REF!+#REF!)/#REF!</f>
        <v>#REF!</v>
      </c>
      <c r="E108" s="46" t="e">
        <f>(#REF!+#REF!)/#REF!</f>
        <v>#REF!</v>
      </c>
      <c r="F108" s="46"/>
      <c r="G108" s="46" t="e">
        <f>(#REF!+#REF!)/#REF!</f>
        <v>#REF!</v>
      </c>
      <c r="H108" s="46" t="e">
        <f>(#REF!+#REF!)/#REF!</f>
        <v>#REF!</v>
      </c>
      <c r="I108" s="46" t="e">
        <f>(#REF!+#REF!)/#REF!</f>
        <v>#REF!</v>
      </c>
      <c r="J108" s="46" t="e">
        <f>(#REF!+#REF!)/#REF!</f>
        <v>#REF!</v>
      </c>
      <c r="K108" s="46" t="e">
        <f>(#REF!+#REF!)/#REF!</f>
        <v>#REF!</v>
      </c>
      <c r="L108" s="46" t="e">
        <f>(#REF!+#REF!)/#REF!</f>
        <v>#REF!</v>
      </c>
      <c r="M108" s="133" t="e">
        <f>(#REF!+#REF!)/#REF!</f>
        <v>#REF!</v>
      </c>
      <c r="N108" s="35" t="e">
        <f>M108-'[3]Previous Quarter'!M111</f>
        <v>#REF!</v>
      </c>
    </row>
    <row r="109" spans="2:14" ht="14.45" hidden="1" customHeight="1" x14ac:dyDescent="0.25">
      <c r="N109" s="35">
        <f>M109-'[3]Previous Quarter'!M112</f>
        <v>0</v>
      </c>
    </row>
    <row r="110" spans="2:14" ht="14.45" hidden="1" customHeight="1" x14ac:dyDescent="0.25">
      <c r="B110" s="96" t="s">
        <v>62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149"/>
      <c r="N110" s="35">
        <f>M110-'[3]Previous Quarter'!M113</f>
        <v>0</v>
      </c>
    </row>
    <row r="111" spans="2:14" ht="14.45" hidden="1" customHeight="1" x14ac:dyDescent="0.25">
      <c r="B111" s="98" t="s">
        <v>55</v>
      </c>
      <c r="C111" s="99" t="e">
        <f>C98/#REF!</f>
        <v>#REF!</v>
      </c>
      <c r="D111" s="99" t="e">
        <f>D98/#REF!</f>
        <v>#REF!</v>
      </c>
      <c r="E111" s="99" t="e">
        <f>E98/#REF!</f>
        <v>#REF!</v>
      </c>
      <c r="F111" s="99"/>
      <c r="G111" s="99" t="e">
        <f>G98/#REF!</f>
        <v>#REF!</v>
      </c>
      <c r="H111" s="99" t="e">
        <f>H98/#REF!</f>
        <v>#REF!</v>
      </c>
      <c r="I111" s="99" t="e">
        <f>I98/#REF!</f>
        <v>#REF!</v>
      </c>
      <c r="J111" s="99" t="e">
        <f>J98/#REF!</f>
        <v>#REF!</v>
      </c>
      <c r="K111" s="99" t="e">
        <f>K98/#REF!</f>
        <v>#REF!</v>
      </c>
      <c r="L111" s="99" t="e">
        <f>L98/#REF!</f>
        <v>#REF!</v>
      </c>
      <c r="M111" s="150" t="e">
        <f>M98/#REF!</f>
        <v>#REF!</v>
      </c>
      <c r="N111" s="35" t="e">
        <f>M111-'[3]Previous Quarter'!M114</f>
        <v>#REF!</v>
      </c>
    </row>
    <row r="112" spans="2:14" ht="14.45" hidden="1" customHeight="1" x14ac:dyDescent="0.25">
      <c r="B112" s="100" t="s">
        <v>56</v>
      </c>
      <c r="C112" s="101" t="e">
        <f>C99/#REF!</f>
        <v>#REF!</v>
      </c>
      <c r="D112" s="101" t="e">
        <f>D99/#REF!</f>
        <v>#REF!</v>
      </c>
      <c r="E112" s="101" t="e">
        <f>E99/#REF!</f>
        <v>#REF!</v>
      </c>
      <c r="F112" s="101"/>
      <c r="G112" s="101" t="e">
        <f>G99/#REF!</f>
        <v>#REF!</v>
      </c>
      <c r="H112" s="101" t="e">
        <f>H99/#REF!</f>
        <v>#REF!</v>
      </c>
      <c r="I112" s="101" t="e">
        <f>I99/#REF!</f>
        <v>#REF!</v>
      </c>
      <c r="J112" s="101" t="e">
        <f>J99/#REF!</f>
        <v>#REF!</v>
      </c>
      <c r="K112" s="101" t="e">
        <f>K99/#REF!</f>
        <v>#REF!</v>
      </c>
      <c r="L112" s="101" t="e">
        <f>L99/#REF!</f>
        <v>#REF!</v>
      </c>
      <c r="M112" s="151" t="e">
        <f>M99/#REF!</f>
        <v>#REF!</v>
      </c>
      <c r="N112" s="35" t="e">
        <f>M112-'[3]Previous Quarter'!M115</f>
        <v>#REF!</v>
      </c>
    </row>
    <row r="113" spans="2:14" ht="14.45" hidden="1" customHeight="1" x14ac:dyDescent="0.25">
      <c r="B113" s="102" t="s">
        <v>57</v>
      </c>
      <c r="C113" s="103" t="e">
        <f>C100/#REF!</f>
        <v>#REF!</v>
      </c>
      <c r="D113" s="103" t="e">
        <f>D100/#REF!</f>
        <v>#REF!</v>
      </c>
      <c r="E113" s="103" t="e">
        <f>E100/#REF!</f>
        <v>#REF!</v>
      </c>
      <c r="F113" s="103"/>
      <c r="G113" s="103" t="e">
        <f>G100/#REF!</f>
        <v>#REF!</v>
      </c>
      <c r="H113" s="103" t="e">
        <f>H100/#REF!</f>
        <v>#REF!</v>
      </c>
      <c r="I113" s="103" t="e">
        <f>I100/#REF!</f>
        <v>#REF!</v>
      </c>
      <c r="J113" s="103" t="e">
        <f>J100/#REF!</f>
        <v>#REF!</v>
      </c>
      <c r="K113" s="103" t="e">
        <f>K100/#REF!</f>
        <v>#REF!</v>
      </c>
      <c r="L113" s="103" t="e">
        <f>L100/#REF!</f>
        <v>#REF!</v>
      </c>
      <c r="M113" s="152" t="e">
        <f>M100/#REF!</f>
        <v>#REF!</v>
      </c>
      <c r="N113" s="35" t="e">
        <f>M113-'[3]Previous Quarter'!M116</f>
        <v>#REF!</v>
      </c>
    </row>
    <row r="114" spans="2:14" ht="14.45" hidden="1" customHeight="1" x14ac:dyDescent="0.25">
      <c r="N114" s="35">
        <f>M114-'[3]Previous Quarter'!M117</f>
        <v>0</v>
      </c>
    </row>
    <row r="115" spans="2:14" ht="14.45" hidden="1" customHeight="1" x14ac:dyDescent="0.25">
      <c r="N115" s="35">
        <f>M115-'[3]Previous Quarter'!M118</f>
        <v>0</v>
      </c>
    </row>
    <row r="116" spans="2:14" ht="14.45" hidden="1" customHeight="1" x14ac:dyDescent="0.25">
      <c r="B116" s="96" t="s">
        <v>63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149"/>
      <c r="N116" s="35">
        <f>M116-'[3]Previous Quarter'!M119</f>
        <v>0</v>
      </c>
    </row>
    <row r="117" spans="2:14" ht="14.45" hidden="1" customHeight="1" x14ac:dyDescent="0.25">
      <c r="B117" s="104" t="s">
        <v>55</v>
      </c>
      <c r="C117" s="105" t="e">
        <f>+SUM(C68:C68,C72)/#REF!</f>
        <v>#REF!</v>
      </c>
      <c r="D117" s="105" t="e">
        <f>+SUM(D68:D68,D72)/#REF!</f>
        <v>#REF!</v>
      </c>
      <c r="E117" s="105" t="e">
        <f>+SUM(E68:E68,E72)/#REF!</f>
        <v>#REF!</v>
      </c>
      <c r="F117" s="105"/>
      <c r="G117" s="105" t="e">
        <f>+SUM(G68:G68,G72)/#REF!</f>
        <v>#REF!</v>
      </c>
      <c r="H117" s="105" t="e">
        <f>+SUM(H68:H68,H72)/#REF!</f>
        <v>#REF!</v>
      </c>
      <c r="I117" s="105" t="e">
        <f>+SUM(I68:I68,I72)/#REF!</f>
        <v>#REF!</v>
      </c>
      <c r="J117" s="105" t="e">
        <f>+SUM(J68:J68,J72)/#REF!</f>
        <v>#REF!</v>
      </c>
      <c r="K117" s="105" t="e">
        <f>+SUM(K68:K68,K72)/#REF!</f>
        <v>#REF!</v>
      </c>
      <c r="L117" s="105" t="e">
        <f>+SUM(L68:L68,L72)/#REF!</f>
        <v>#REF!</v>
      </c>
      <c r="M117" s="150" t="e">
        <f>+SUM(M68:M68,M72)/#REF!</f>
        <v>#REF!</v>
      </c>
      <c r="N117" s="35" t="e">
        <f>M117-'[3]Previous Quarter'!M120</f>
        <v>#REF!</v>
      </c>
    </row>
    <row r="118" spans="2:14" ht="14.45" hidden="1" customHeight="1" x14ac:dyDescent="0.25">
      <c r="B118" s="106" t="s">
        <v>56</v>
      </c>
      <c r="C118" s="107" t="e">
        <f>SUM(C63,#REF!)/#REF!</f>
        <v>#REF!</v>
      </c>
      <c r="D118" s="107" t="e">
        <f>SUM(D63,#REF!)/#REF!</f>
        <v>#REF!</v>
      </c>
      <c r="E118" s="107" t="e">
        <f>SUM(E63,#REF!)/#REF!</f>
        <v>#REF!</v>
      </c>
      <c r="F118" s="107"/>
      <c r="G118" s="107" t="e">
        <f>SUM(G63,#REF!)/#REF!</f>
        <v>#REF!</v>
      </c>
      <c r="H118" s="107" t="e">
        <f>SUM(H63,#REF!)/#REF!</f>
        <v>#REF!</v>
      </c>
      <c r="I118" s="107" t="e">
        <f>SUM(I63,#REF!)/#REF!</f>
        <v>#REF!</v>
      </c>
      <c r="J118" s="107" t="e">
        <f>SUM(J63,#REF!)/#REF!</f>
        <v>#REF!</v>
      </c>
      <c r="K118" s="107" t="e">
        <f>SUM(K63,#REF!)/#REF!</f>
        <v>#REF!</v>
      </c>
      <c r="L118" s="107" t="e">
        <f>SUM(L63,#REF!)/#REF!</f>
        <v>#REF!</v>
      </c>
      <c r="M118" s="151" t="e">
        <f>SUM(M63,#REF!)/#REF!</f>
        <v>#REF!</v>
      </c>
      <c r="N118" s="35" t="e">
        <f>M118-'[3]Previous Quarter'!M121</f>
        <v>#REF!</v>
      </c>
    </row>
    <row r="119" spans="2:14" ht="14.45" hidden="1" customHeight="1" x14ac:dyDescent="0.25">
      <c r="B119" s="108" t="s">
        <v>57</v>
      </c>
      <c r="C119" s="109" t="e">
        <f t="shared" ref="C119:M119" si="33">+C117+C118</f>
        <v>#REF!</v>
      </c>
      <c r="D119" s="109" t="e">
        <f t="shared" si="33"/>
        <v>#REF!</v>
      </c>
      <c r="E119" s="109" t="e">
        <f t="shared" si="33"/>
        <v>#REF!</v>
      </c>
      <c r="F119" s="109"/>
      <c r="G119" s="109" t="e">
        <f t="shared" si="33"/>
        <v>#REF!</v>
      </c>
      <c r="H119" s="109" t="e">
        <f t="shared" si="33"/>
        <v>#REF!</v>
      </c>
      <c r="I119" s="109" t="e">
        <f t="shared" si="33"/>
        <v>#REF!</v>
      </c>
      <c r="J119" s="109" t="e">
        <f t="shared" si="33"/>
        <v>#REF!</v>
      </c>
      <c r="K119" s="109" t="e">
        <f t="shared" si="33"/>
        <v>#REF!</v>
      </c>
      <c r="L119" s="109" t="e">
        <f t="shared" si="33"/>
        <v>#REF!</v>
      </c>
      <c r="M119" s="152" t="e">
        <f t="shared" si="33"/>
        <v>#REF!</v>
      </c>
      <c r="N119" s="35" t="e">
        <f>M119-'[3]Previous Quarter'!M122</f>
        <v>#REF!</v>
      </c>
    </row>
    <row r="120" spans="2:14" ht="13.5" thickBot="1" x14ac:dyDescent="0.3">
      <c r="B120" s="110" t="s">
        <v>64</v>
      </c>
      <c r="C120" s="111">
        <f t="shared" ref="C120:M120" si="34">C100/C95</f>
        <v>0.44905108301918312</v>
      </c>
      <c r="D120" s="111">
        <f t="shared" si="34"/>
        <v>0.40442443647482362</v>
      </c>
      <c r="E120" s="111">
        <f t="shared" si="34"/>
        <v>0.24839738243102191</v>
      </c>
      <c r="F120" s="111">
        <f t="shared" si="34"/>
        <v>0.21836939709470127</v>
      </c>
      <c r="G120" s="111">
        <f t="shared" si="34"/>
        <v>0.13134871730108477</v>
      </c>
      <c r="H120" s="111">
        <f t="shared" si="34"/>
        <v>0.41497171722319187</v>
      </c>
      <c r="I120" s="111" t="e">
        <f t="shared" si="34"/>
        <v>#DIV/0!</v>
      </c>
      <c r="J120" s="111">
        <f t="shared" si="34"/>
        <v>0.1453359764560031</v>
      </c>
      <c r="K120" s="111">
        <f t="shared" si="34"/>
        <v>0.22318007198810211</v>
      </c>
      <c r="L120" s="111">
        <f t="shared" si="34"/>
        <v>0.44458421705018103</v>
      </c>
      <c r="M120" s="153">
        <f t="shared" si="34"/>
        <v>0.34570754438188461</v>
      </c>
      <c r="N120" s="35">
        <f>M120-'[3]Previous Quarter'!M123</f>
        <v>1.4373871689874695E-2</v>
      </c>
    </row>
    <row r="121" spans="2:14" ht="13.5" thickBot="1" x14ac:dyDescent="0.3">
      <c r="B121" s="82" t="s">
        <v>54</v>
      </c>
      <c r="C121" s="83"/>
      <c r="D121" s="84"/>
      <c r="E121" s="83"/>
      <c r="F121" s="83"/>
      <c r="G121" s="83"/>
      <c r="H121" s="83"/>
      <c r="I121" s="84"/>
      <c r="J121" s="84"/>
      <c r="K121" s="84"/>
      <c r="L121" s="84"/>
      <c r="M121" s="144"/>
      <c r="N121" s="35">
        <f>M121-'[3]Previous Quarter'!M124</f>
        <v>0</v>
      </c>
    </row>
    <row r="122" spans="2:14" x14ac:dyDescent="0.25">
      <c r="B122" s="85" t="s">
        <v>55</v>
      </c>
      <c r="C122" s="112">
        <f t="shared" ref="C122:M123" si="35">C98/C$95</f>
        <v>0.44905108301918312</v>
      </c>
      <c r="D122" s="112">
        <f t="shared" si="35"/>
        <v>0.40442443647482362</v>
      </c>
      <c r="E122" s="112">
        <f t="shared" si="35"/>
        <v>0.23473759967208896</v>
      </c>
      <c r="F122" s="112">
        <f t="shared" si="35"/>
        <v>0.21836939709470127</v>
      </c>
      <c r="G122" s="112">
        <f t="shared" si="35"/>
        <v>0.10522006854415523</v>
      </c>
      <c r="H122" s="112">
        <f t="shared" si="35"/>
        <v>0.41497171722319187</v>
      </c>
      <c r="I122" s="112" t="e">
        <f t="shared" si="35"/>
        <v>#DIV/0!</v>
      </c>
      <c r="J122" s="112">
        <f t="shared" si="35"/>
        <v>0.14049497523272461</v>
      </c>
      <c r="K122" s="112">
        <f t="shared" si="35"/>
        <v>0.22318007198810211</v>
      </c>
      <c r="L122" s="112">
        <f t="shared" si="35"/>
        <v>0.43541050281982135</v>
      </c>
      <c r="M122" s="150">
        <f t="shared" si="35"/>
        <v>0.34198980294949316</v>
      </c>
      <c r="N122" s="35">
        <f>M122-'[3]Previous Quarter'!M125</f>
        <v>1.565913820938919E-2</v>
      </c>
    </row>
    <row r="123" spans="2:14" x14ac:dyDescent="0.25">
      <c r="B123" s="87" t="s">
        <v>56</v>
      </c>
      <c r="C123" s="113">
        <f t="shared" si="35"/>
        <v>0</v>
      </c>
      <c r="D123" s="113">
        <f t="shared" si="35"/>
        <v>0</v>
      </c>
      <c r="E123" s="113">
        <f t="shared" si="35"/>
        <v>1.3659782758932955E-2</v>
      </c>
      <c r="F123" s="113">
        <f t="shared" si="35"/>
        <v>0</v>
      </c>
      <c r="G123" s="113">
        <f t="shared" si="35"/>
        <v>2.6128648756929534E-2</v>
      </c>
      <c r="H123" s="113">
        <f t="shared" si="35"/>
        <v>0</v>
      </c>
      <c r="I123" s="113" t="e">
        <f t="shared" si="35"/>
        <v>#DIV/0!</v>
      </c>
      <c r="J123" s="113">
        <f t="shared" si="35"/>
        <v>4.8410012232784957E-3</v>
      </c>
      <c r="K123" s="113">
        <f t="shared" si="35"/>
        <v>0</v>
      </c>
      <c r="L123" s="113">
        <f t="shared" si="35"/>
        <v>9.1737142303596562E-3</v>
      </c>
      <c r="M123" s="151">
        <f t="shared" si="35"/>
        <v>3.7177414323914175E-3</v>
      </c>
      <c r="N123" s="35">
        <f>M123-'[3]Previous Quarter'!M126</f>
        <v>-1.285266519514505E-3</v>
      </c>
    </row>
    <row r="124" spans="2:14" ht="16.899999999999999" customHeight="1" thickBot="1" x14ac:dyDescent="0.3">
      <c r="B124" s="89" t="s">
        <v>57</v>
      </c>
      <c r="C124" s="114">
        <f>SUM(C122:C123)</f>
        <v>0.44905108301918312</v>
      </c>
      <c r="D124" s="114">
        <f t="shared" ref="D124:M124" si="36">SUM(D122:D123)</f>
        <v>0.40442443647482362</v>
      </c>
      <c r="E124" s="114">
        <f t="shared" si="36"/>
        <v>0.24839738243102191</v>
      </c>
      <c r="F124" s="114">
        <f t="shared" si="36"/>
        <v>0.21836939709470127</v>
      </c>
      <c r="G124" s="114">
        <f t="shared" si="36"/>
        <v>0.13134871730108477</v>
      </c>
      <c r="H124" s="114">
        <f t="shared" si="36"/>
        <v>0.41497171722319187</v>
      </c>
      <c r="I124" s="114" t="e">
        <f t="shared" si="36"/>
        <v>#DIV/0!</v>
      </c>
      <c r="J124" s="114">
        <f t="shared" si="36"/>
        <v>0.1453359764560031</v>
      </c>
      <c r="K124" s="114">
        <f t="shared" si="36"/>
        <v>0.22318007198810211</v>
      </c>
      <c r="L124" s="114">
        <f t="shared" si="36"/>
        <v>0.44458421705018103</v>
      </c>
      <c r="M124" s="154">
        <f t="shared" si="36"/>
        <v>0.34570754438188456</v>
      </c>
      <c r="N124" s="35">
        <f>M124-'[3]Previous Quarter'!M127</f>
        <v>1.437387168987464E-2</v>
      </c>
    </row>
    <row r="125" spans="2:14" ht="16.899999999999999" customHeight="1" x14ac:dyDescent="0.25">
      <c r="B125" s="3" t="s">
        <v>148</v>
      </c>
      <c r="C125" s="184"/>
      <c r="D125" s="184"/>
      <c r="E125" s="184"/>
      <c r="F125" s="184">
        <v>50000</v>
      </c>
      <c r="G125" s="184">
        <v>2500</v>
      </c>
      <c r="H125" s="184">
        <v>2500</v>
      </c>
      <c r="I125" s="184">
        <v>2500</v>
      </c>
      <c r="J125" s="184">
        <v>2500</v>
      </c>
      <c r="K125" s="184">
        <v>2500</v>
      </c>
      <c r="L125" s="184"/>
      <c r="M125" s="183"/>
    </row>
    <row r="126" spans="2:14" ht="16.899999999999999" customHeight="1" x14ac:dyDescent="0.25">
      <c r="B126" s="3" t="s">
        <v>150</v>
      </c>
      <c r="C126" s="184">
        <f>0.15*C95</f>
        <v>612406.04999999993</v>
      </c>
      <c r="D126" s="184">
        <f t="shared" ref="D126:K126" si="37">0.15*D95</f>
        <v>65540.55</v>
      </c>
      <c r="E126" s="184">
        <f t="shared" si="37"/>
        <v>31471.949999999997</v>
      </c>
      <c r="F126" s="184">
        <f t="shared" si="37"/>
        <v>141104.25</v>
      </c>
      <c r="G126" s="184">
        <f t="shared" si="37"/>
        <v>34444.949999999997</v>
      </c>
      <c r="H126" s="184">
        <f t="shared" si="37"/>
        <v>188383.19999999998</v>
      </c>
      <c r="I126" s="184">
        <f t="shared" si="37"/>
        <v>0</v>
      </c>
      <c r="J126" s="184">
        <f>0.1*J95</f>
        <v>291675.2</v>
      </c>
      <c r="K126" s="184">
        <f t="shared" si="37"/>
        <v>61926.899999999994</v>
      </c>
      <c r="L126" s="184">
        <f>0.1*L95</f>
        <v>293174.60000000003</v>
      </c>
      <c r="M126" s="183"/>
    </row>
    <row r="127" spans="2:14" ht="16.899999999999999" customHeight="1" x14ac:dyDescent="0.25">
      <c r="B127" s="3" t="s">
        <v>149</v>
      </c>
      <c r="C127" s="184">
        <f>IF(C125&gt;C126,C100-C125,C100-C126)</f>
        <v>1220937.9500000002</v>
      </c>
      <c r="D127" s="184">
        <f t="shared" ref="D127:L127" si="38">IF(D125&gt;D126,D100-D125,D100-D126)</f>
        <v>111167.45</v>
      </c>
      <c r="E127" s="184">
        <f t="shared" si="38"/>
        <v>20645.050000000003</v>
      </c>
      <c r="F127" s="184">
        <f t="shared" si="38"/>
        <v>64314.75</v>
      </c>
      <c r="G127" s="184">
        <f t="shared" si="38"/>
        <v>-4282.9499999999971</v>
      </c>
      <c r="H127" s="184">
        <f t="shared" si="38"/>
        <v>332774.80000000005</v>
      </c>
      <c r="I127" s="184">
        <f t="shared" si="38"/>
        <v>-2500</v>
      </c>
      <c r="J127" s="184">
        <f t="shared" si="38"/>
        <v>132233.79999999999</v>
      </c>
      <c r="K127" s="184">
        <f t="shared" si="38"/>
        <v>30212.100000000006</v>
      </c>
      <c r="L127" s="184">
        <f t="shared" si="38"/>
        <v>1010233.3999999999</v>
      </c>
      <c r="M127" s="183"/>
    </row>
    <row r="128" spans="2:14" ht="16.899999999999999" customHeight="1" x14ac:dyDescent="0.25">
      <c r="B128" s="181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3"/>
    </row>
    <row r="131" spans="2:13" x14ac:dyDescent="0.25">
      <c r="B131" s="160" t="s">
        <v>110</v>
      </c>
    </row>
    <row r="132" spans="2:13" x14ac:dyDescent="0.25">
      <c r="B132" s="157" t="s">
        <v>87</v>
      </c>
    </row>
    <row r="133" spans="2:13" x14ac:dyDescent="0.25">
      <c r="B133" s="158" t="s">
        <v>88</v>
      </c>
    </row>
    <row r="134" spans="2:13" x14ac:dyDescent="0.25">
      <c r="B134" s="158" t="s">
        <v>89</v>
      </c>
    </row>
    <row r="135" spans="2:13" x14ac:dyDescent="0.25">
      <c r="B135" s="158" t="s">
        <v>111</v>
      </c>
    </row>
    <row r="136" spans="2:13" x14ac:dyDescent="0.25">
      <c r="B136" s="158" t="s">
        <v>112</v>
      </c>
    </row>
    <row r="137" spans="2:13" x14ac:dyDescent="0.25">
      <c r="B137" s="159" t="s">
        <v>90</v>
      </c>
    </row>
    <row r="138" spans="2:13" x14ac:dyDescent="0.25">
      <c r="B138" s="160" t="s">
        <v>91</v>
      </c>
    </row>
    <row r="139" spans="2:13" x14ac:dyDescent="0.25">
      <c r="B139" s="157" t="s">
        <v>92</v>
      </c>
      <c r="C139" s="3">
        <f t="shared" ref="C139:M139" si="39">ABS(C34)/C29</f>
        <v>0.4725359740058796</v>
      </c>
      <c r="D139" s="3">
        <f t="shared" si="39"/>
        <v>0.71248079143820986</v>
      </c>
      <c r="E139" s="3">
        <f t="shared" si="39"/>
        <v>0.9079852091800874</v>
      </c>
      <c r="F139" s="3">
        <f t="shared" si="39"/>
        <v>0.55250075388790765</v>
      </c>
      <c r="G139" s="3">
        <f t="shared" si="39"/>
        <v>1.0434125508939636</v>
      </c>
      <c r="H139" s="3">
        <f t="shared" si="39"/>
        <v>0.50401060346171833</v>
      </c>
      <c r="I139" s="3" t="e">
        <f t="shared" si="39"/>
        <v>#DIV/0!</v>
      </c>
      <c r="J139" s="3">
        <f t="shared" si="39"/>
        <v>0.59790184332491425</v>
      </c>
      <c r="K139" s="3">
        <f t="shared" si="39"/>
        <v>0.88842237520613565</v>
      </c>
      <c r="L139" s="3">
        <f t="shared" si="39"/>
        <v>0.62239736168169446</v>
      </c>
      <c r="M139" s="3">
        <f t="shared" si="39"/>
        <v>0.60011690716183441</v>
      </c>
    </row>
    <row r="140" spans="2:13" x14ac:dyDescent="0.25">
      <c r="B140" s="161" t="s">
        <v>93</v>
      </c>
      <c r="C140" s="3">
        <f t="shared" ref="C140:M140" si="40">C25/C29</f>
        <v>0.14231550734441314</v>
      </c>
      <c r="D140" s="3">
        <f t="shared" si="40"/>
        <v>0.24192785764296171</v>
      </c>
      <c r="E140" s="3">
        <f t="shared" si="40"/>
        <v>5.5873035275901761E-2</v>
      </c>
      <c r="F140" s="3">
        <f t="shared" si="40"/>
        <v>0.90179209925472792</v>
      </c>
      <c r="G140" s="3">
        <f t="shared" si="40"/>
        <v>0.49743317401309967</v>
      </c>
      <c r="H140" s="3">
        <f t="shared" si="40"/>
        <v>0.44406673943552161</v>
      </c>
      <c r="I140" s="3" t="e">
        <f t="shared" si="40"/>
        <v>#DIV/0!</v>
      </c>
      <c r="J140" s="3">
        <f t="shared" si="40"/>
        <v>0.21881637551405717</v>
      </c>
      <c r="K140" s="3">
        <f t="shared" si="40"/>
        <v>0.31610606496871974</v>
      </c>
      <c r="L140" s="3">
        <f t="shared" si="40"/>
        <v>0.21905678119831404</v>
      </c>
      <c r="M140" s="3">
        <f t="shared" si="40"/>
        <v>0.2770559726898052</v>
      </c>
    </row>
    <row r="141" spans="2:13" x14ac:dyDescent="0.25">
      <c r="B141" s="161" t="s">
        <v>113</v>
      </c>
    </row>
    <row r="142" spans="2:13" x14ac:dyDescent="0.25">
      <c r="B142" s="161" t="s">
        <v>18</v>
      </c>
    </row>
    <row r="143" spans="2:13" x14ac:dyDescent="0.25">
      <c r="B143" s="159" t="s">
        <v>19</v>
      </c>
    </row>
    <row r="144" spans="2:13" x14ac:dyDescent="0.25">
      <c r="B144" s="160" t="s">
        <v>94</v>
      </c>
    </row>
    <row r="145" spans="2:13" x14ac:dyDescent="0.25">
      <c r="B145" s="157" t="s">
        <v>95</v>
      </c>
      <c r="C145" s="3" t="e">
        <f>(-1*C22)/#REF!</f>
        <v>#REF!</v>
      </c>
      <c r="D145" s="3" t="e">
        <f>(-1*D22)/#REF!</f>
        <v>#REF!</v>
      </c>
      <c r="E145" s="3" t="e">
        <f>(-1*E22)/#REF!</f>
        <v>#REF!</v>
      </c>
      <c r="F145" s="3" t="e">
        <f>(-1*F22)/#REF!</f>
        <v>#REF!</v>
      </c>
      <c r="G145" s="3" t="e">
        <f>(-1*G22)/#REF!</f>
        <v>#REF!</v>
      </c>
      <c r="H145" s="3" t="e">
        <f>(-1*H22)/#REF!</f>
        <v>#REF!</v>
      </c>
      <c r="I145" s="3" t="e">
        <f>(-1*I22)/#REF!</f>
        <v>#REF!</v>
      </c>
      <c r="J145" s="3" t="e">
        <f>(-1*J22)/#REF!</f>
        <v>#REF!</v>
      </c>
      <c r="K145" s="3" t="e">
        <f>(-1*K22)/#REF!</f>
        <v>#REF!</v>
      </c>
      <c r="L145" s="3" t="e">
        <f>(-1*L22)/#REF!</f>
        <v>#REF!</v>
      </c>
      <c r="M145" s="3" t="e">
        <f>(-1*M22)/#REF!</f>
        <v>#REF!</v>
      </c>
    </row>
    <row r="146" spans="2:13" x14ac:dyDescent="0.25">
      <c r="B146" s="159" t="s">
        <v>96</v>
      </c>
    </row>
    <row r="147" spans="2:13" x14ac:dyDescent="0.25">
      <c r="B147" s="162" t="s">
        <v>97</v>
      </c>
    </row>
    <row r="148" spans="2:13" x14ac:dyDescent="0.25">
      <c r="B148" s="157" t="s">
        <v>98</v>
      </c>
    </row>
    <row r="149" spans="2:13" x14ac:dyDescent="0.25">
      <c r="B149" s="158" t="s">
        <v>114</v>
      </c>
    </row>
    <row r="150" spans="2:13" x14ac:dyDescent="0.25">
      <c r="B150" s="158" t="s">
        <v>99</v>
      </c>
    </row>
    <row r="151" spans="2:13" x14ac:dyDescent="0.25">
      <c r="B151" s="158" t="s">
        <v>100</v>
      </c>
    </row>
    <row r="152" spans="2:13" x14ac:dyDescent="0.25">
      <c r="B152" s="158" t="s">
        <v>101</v>
      </c>
    </row>
    <row r="153" spans="2:13" x14ac:dyDescent="0.25">
      <c r="B153" s="158" t="s">
        <v>102</v>
      </c>
    </row>
    <row r="154" spans="2:13" x14ac:dyDescent="0.25">
      <c r="B154" s="158" t="s">
        <v>103</v>
      </c>
    </row>
    <row r="155" spans="2:13" x14ac:dyDescent="0.25">
      <c r="B155" s="158" t="s">
        <v>104</v>
      </c>
    </row>
    <row r="156" spans="2:13" x14ac:dyDescent="0.25">
      <c r="B156" s="158" t="s">
        <v>105</v>
      </c>
    </row>
    <row r="157" spans="2:13" x14ac:dyDescent="0.25">
      <c r="B157" s="159" t="s">
        <v>106</v>
      </c>
    </row>
    <row r="158" spans="2:13" x14ac:dyDescent="0.25">
      <c r="B158" s="160" t="s">
        <v>107</v>
      </c>
    </row>
    <row r="159" spans="2:13" x14ac:dyDescent="0.25">
      <c r="B159" s="157" t="s">
        <v>108</v>
      </c>
    </row>
    <row r="160" spans="2:13" x14ac:dyDescent="0.25">
      <c r="B160" s="163" t="s">
        <v>109</v>
      </c>
    </row>
    <row r="161" spans="2:2" x14ac:dyDescent="0.25">
      <c r="B161" s="164" t="s">
        <v>115</v>
      </c>
    </row>
  </sheetData>
  <conditionalFormatting sqref="C120:M120">
    <cfRule type="cellIs" dxfId="3" priority="3" stopIfTrue="1" operator="lessThan">
      <formula>#REF!</formula>
    </cfRule>
    <cfRule type="cellIs" dxfId="2" priority="4" operator="lessThan">
      <formula>#REF!</formula>
    </cfRule>
  </conditionalFormatting>
  <conditionalFormatting sqref="C124:M128">
    <cfRule type="cellIs" dxfId="1" priority="1" stopIfTrue="1" operator="less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Drop Down 1">
              <controlPr defaultSize="0" autoLine="0" autoPict="0">
                <anchor moveWithCells="1">
                  <from>
                    <xdr:col>11</xdr:col>
                    <xdr:colOff>0</xdr:colOff>
                    <xdr:row>7</xdr:row>
                    <xdr:rowOff>9525</xdr:rowOff>
                  </from>
                  <to>
                    <xdr:col>12</xdr:col>
                    <xdr:colOff>200025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Drop Down 2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628650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Drop Down 3">
              <controlPr defaultSize="0" autoLine="0" autoPict="0">
                <anchor moveWithCells="1">
                  <from>
                    <xdr:col>12</xdr:col>
                    <xdr:colOff>0</xdr:colOff>
                    <xdr:row>7</xdr:row>
                    <xdr:rowOff>9525</xdr:rowOff>
                  </from>
                  <to>
                    <xdr:col>13</xdr:col>
                    <xdr:colOff>57150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7" name="Drop Down 4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647700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1"/>
  <sheetViews>
    <sheetView topLeftCell="E85" zoomScaleNormal="100" workbookViewId="0">
      <selection activeCell="H94" sqref="H94"/>
    </sheetView>
  </sheetViews>
  <sheetFormatPr defaultRowHeight="15" x14ac:dyDescent="0.25"/>
  <cols>
    <col min="1" max="1" width="25" bestFit="1" customWidth="1"/>
    <col min="2" max="2" width="12" customWidth="1"/>
    <col min="3" max="3" width="16.28515625" customWidth="1"/>
    <col min="4" max="4" width="21.7109375" bestFit="1" customWidth="1"/>
    <col min="5" max="5" width="14.140625" customWidth="1"/>
    <col min="6" max="6" width="16" customWidth="1"/>
    <col min="7" max="7" width="12.28515625" customWidth="1"/>
    <col min="8" max="8" width="27.7109375" bestFit="1" customWidth="1"/>
    <col min="9" max="9" width="17.42578125" bestFit="1" customWidth="1"/>
    <col min="10" max="10" width="21.85546875" customWidth="1"/>
    <col min="11" max="11" width="21.42578125" bestFit="1" customWidth="1"/>
    <col min="12" max="12" width="17.42578125" customWidth="1"/>
    <col min="13" max="13" width="24.140625" bestFit="1" customWidth="1"/>
    <col min="14" max="14" width="15.28515625" bestFit="1" customWidth="1"/>
    <col min="15" max="15" width="21.28515625" bestFit="1" customWidth="1"/>
    <col min="16" max="16" width="15.7109375" bestFit="1" customWidth="1"/>
  </cols>
  <sheetData>
    <row r="1" spans="1:15" x14ac:dyDescent="0.25">
      <c r="A1" t="s">
        <v>85</v>
      </c>
      <c r="B1">
        <v>2026</v>
      </c>
      <c r="C1">
        <v>2025</v>
      </c>
      <c r="E1" t="s">
        <v>65</v>
      </c>
      <c r="F1" t="s">
        <v>66</v>
      </c>
      <c r="G1" t="s">
        <v>67</v>
      </c>
      <c r="H1" t="s">
        <v>83</v>
      </c>
      <c r="I1" t="s">
        <v>82</v>
      </c>
      <c r="J1" t="s">
        <v>68</v>
      </c>
      <c r="K1" t="s">
        <v>69</v>
      </c>
      <c r="L1" t="s">
        <v>70</v>
      </c>
      <c r="M1" t="s">
        <v>71</v>
      </c>
      <c r="N1" t="s">
        <v>71</v>
      </c>
    </row>
    <row r="2" spans="1:15" x14ac:dyDescent="0.25">
      <c r="A2" t="s">
        <v>84</v>
      </c>
      <c r="B2" t="s">
        <v>193</v>
      </c>
      <c r="C2" t="s">
        <v>192</v>
      </c>
    </row>
    <row r="3" spans="1:15" x14ac:dyDescent="0.25">
      <c r="A3" t="s">
        <v>164</v>
      </c>
      <c r="B3" s="218">
        <v>46203</v>
      </c>
      <c r="C3" s="218">
        <v>46112</v>
      </c>
    </row>
    <row r="4" spans="1:15" x14ac:dyDescent="0.25">
      <c r="A4" t="s">
        <v>153</v>
      </c>
      <c r="B4">
        <v>2</v>
      </c>
    </row>
    <row r="5" spans="1:15" s="156" customFormat="1" x14ac:dyDescent="0.25">
      <c r="A5" s="167" t="s">
        <v>118</v>
      </c>
      <c r="M5" s="156" t="s">
        <v>131</v>
      </c>
    </row>
    <row r="6" spans="1:15" x14ac:dyDescent="0.25">
      <c r="A6" s="156"/>
      <c r="B6" s="156" t="str">
        <f>"Assets " &amp;$B$1&amp;" "&amp;$B$2</f>
        <v>Assets 2026 Q2</v>
      </c>
      <c r="C6" s="156"/>
      <c r="D6" s="156" t="str">
        <f>"% Share " &amp;$B$1&amp;" "&amp;$B$2</f>
        <v>% Share 2026 Q2</v>
      </c>
      <c r="E6" s="156"/>
      <c r="F6" s="156" t="s">
        <v>76</v>
      </c>
      <c r="G6" s="156" t="s">
        <v>127</v>
      </c>
      <c r="H6" s="156"/>
      <c r="I6" s="156" t="str">
        <f>"Assets " &amp;$B$1&amp;" "&amp;$B$2</f>
        <v>Assets 2026 Q2</v>
      </c>
      <c r="J6" s="156" t="str">
        <f>"Assets "&amp;IF($B$2="Q1",($B$1-1)&amp;" Q4",IF($B$2="Q2",$B$1&amp;" Q1",IF($B$2="Q3",$B$1&amp;" Q2", $B$1&amp;" Q3")))</f>
        <v>Assets 2026 Q1</v>
      </c>
      <c r="K6" s="156" t="s">
        <v>86</v>
      </c>
      <c r="L6" s="156"/>
      <c r="M6" s="156" t="str">
        <f>""&amp;$B$1&amp;" "&amp;$B$2</f>
        <v>2026 Q2</v>
      </c>
      <c r="N6" s="156" t="str">
        <f>""&amp;IF($B$2="Q1",($B$1-1)&amp;" Q4",IF($B$2="Q2",$B$1&amp;" Q1",IF($B$2="Q3",$B$1&amp;" Q2", $B$1&amp;" Q3")))</f>
        <v>2026 Q1</v>
      </c>
      <c r="O6" s="156" t="s">
        <v>86</v>
      </c>
    </row>
    <row r="7" spans="1:15" x14ac:dyDescent="0.25">
      <c r="A7" s="156" t="s">
        <v>65</v>
      </c>
      <c r="B7" s="273">
        <f>YTD!$C$54</f>
        <v>4736183</v>
      </c>
      <c r="C7" s="156" t="s">
        <v>65</v>
      </c>
      <c r="D7" s="175">
        <f t="shared" ref="D7:D16" si="0">B7/$B$17</f>
        <v>0.25765843232435159</v>
      </c>
      <c r="E7" s="156" t="s">
        <v>161</v>
      </c>
      <c r="F7" s="273">
        <f>YTD!$J$57</f>
        <v>2588866</v>
      </c>
      <c r="G7" s="175">
        <f t="shared" ref="G7:G16" si="1">F7/$F$17</f>
        <v>0.3146055755028056</v>
      </c>
      <c r="H7" s="156" t="s">
        <v>65</v>
      </c>
      <c r="I7" s="273">
        <f>IF($B$2="Q1",'Q1'!C54,IF(Data!$B$2="Q2",'Q2'!C54,IF(Data!$B$2="Q3",'Q3'!C54,'Q4'!C54)))</f>
        <v>4736183</v>
      </c>
      <c r="J7" s="273">
        <f>IF($B$2="Q1",'Previous Quarter'!C54,IF(Data!$B$2="Q2",'Q1'!C54,IF(Data!$B$2="Q3",#REF!,IF(Data!$B$2="Q4",'Q3'!C54))))</f>
        <v>4462894</v>
      </c>
      <c r="K7" s="178">
        <f>(I7-J7)/J7</f>
        <v>6.1235825901309777E-2</v>
      </c>
      <c r="L7" s="156" t="s">
        <v>161</v>
      </c>
      <c r="M7" s="273">
        <f>IF($B$2="Q1",'Q1'!J57,IF(Data!$B$2="Q2",'Q2'!J57,IF(Data!$B$2="Q3",'Q3'!J57,'Q4'!J57)))</f>
        <v>2588866</v>
      </c>
      <c r="N7" s="273">
        <f>IF($B$2="Q1",'Previous Quarter'!J57,IF(Data!$B$2="Q2",'Q1'!J57,IF(Data!$B$2="Q3",#REF!,'Q3'!J57)))</f>
        <v>2732439</v>
      </c>
      <c r="O7" s="178">
        <f t="shared" ref="O7:O16" si="2">(M7-N7)/N7</f>
        <v>-5.2543899424653213E-2</v>
      </c>
    </row>
    <row r="8" spans="1:15" x14ac:dyDescent="0.25">
      <c r="A8" s="156" t="s">
        <v>161</v>
      </c>
      <c r="B8" s="273">
        <f>YTD!$J$54</f>
        <v>3737255</v>
      </c>
      <c r="C8" s="156" t="s">
        <v>161</v>
      </c>
      <c r="D8" s="175">
        <f t="shared" si="0"/>
        <v>0.20331462371625939</v>
      </c>
      <c r="E8" s="156" t="s">
        <v>71</v>
      </c>
      <c r="F8" s="273">
        <f>YTD!$L$57</f>
        <v>2150472</v>
      </c>
      <c r="G8" s="175">
        <f t="shared" si="1"/>
        <v>0.26133082251559925</v>
      </c>
      <c r="H8" s="156" t="s">
        <v>161</v>
      </c>
      <c r="I8" s="273">
        <f>IF($B$2="Q1",'Q1'!J54,IF(Data!$B$2="Q2",'Q2'!J54,IF(Data!$B$2="Q3",'Q3'!J54,'Q4'!J54)))</f>
        <v>3737255</v>
      </c>
      <c r="J8" s="273">
        <f>IF($B$2="Q1",'Previous Quarter'!J54,IF(Data!$B$2="Q2",'Q1'!J54,IF(Data!$B$2="Q3",#REF!,IF(Data!$B$2="Q4",'Q3'!J54))))</f>
        <v>3850610</v>
      </c>
      <c r="K8" s="178">
        <f t="shared" ref="K8:K18" si="3">(I8-J8)/J8</f>
        <v>-2.9438192909694828E-2</v>
      </c>
      <c r="L8" s="156" t="s">
        <v>71</v>
      </c>
      <c r="M8" s="273">
        <f>IF($B$2="Q1",'Q1'!L57,IF(Data!$B$2="Q2",'Q2'!L57,IF(Data!$B$2="Q3",'Q3'!L57,'Q4'!L57)))</f>
        <v>2150472</v>
      </c>
      <c r="N8" s="273">
        <f>IF($B$2="Q1",'Previous Quarter'!L57,IF(Data!$B$2="Q2",'Q1'!L57,IF(Data!$B$2="Q3",#REF!,'Q3'!L57)))</f>
        <v>2091787</v>
      </c>
      <c r="O8" s="178">
        <f t="shared" si="2"/>
        <v>2.8054959706700539E-2</v>
      </c>
    </row>
    <row r="9" spans="1:15" x14ac:dyDescent="0.25">
      <c r="A9" s="156" t="s">
        <v>71</v>
      </c>
      <c r="B9" s="273">
        <f>YTD!$L$54</f>
        <v>4722376</v>
      </c>
      <c r="C9" s="156" t="s">
        <v>71</v>
      </c>
      <c r="D9" s="175">
        <f t="shared" si="0"/>
        <v>0.25690730214734991</v>
      </c>
      <c r="E9" s="156" t="s">
        <v>68</v>
      </c>
      <c r="F9" s="273">
        <f>YTD!$H$57</f>
        <v>933664</v>
      </c>
      <c r="G9" s="175">
        <f t="shared" si="1"/>
        <v>0.11346122203553659</v>
      </c>
      <c r="H9" s="156" t="s">
        <v>71</v>
      </c>
      <c r="I9" s="273">
        <f>IF($B$2="Q1",'Q1'!L54,IF(Data!$B$2="Q2",'Q2'!L54,IF(Data!$B$2="Q3",'Q3'!L54,'Q4'!L54)))</f>
        <v>4722376</v>
      </c>
      <c r="J9" s="273">
        <f>IF($B$2="Q1",'Previous Quarter'!L54,IF(Data!$B$2="Q2",'Q1'!L54,IF(Data!$B$2="Q3",#REF!,IF(Data!$B$2="Q4",'Q3'!L54))))</f>
        <v>4324756</v>
      </c>
      <c r="K9" s="178">
        <f t="shared" si="3"/>
        <v>9.1940447044873752E-2</v>
      </c>
      <c r="L9" s="156" t="s">
        <v>68</v>
      </c>
      <c r="M9" s="273">
        <f>IF($B$2="Q1",'Q1'!H57,IF(Data!$B$2="Q2",'Q2'!H57,IF(Data!$B$2="Q3",'Q3'!H57,'Q4'!H57)))</f>
        <v>933664</v>
      </c>
      <c r="N9" s="273">
        <f>IF($B$2="Q1",'Previous Quarter'!H57,IF(Data!$B$2="Q2",'Q1'!H57,IF(Data!$B$2="Q3",#REF!,'Q3'!H57)))</f>
        <v>950195</v>
      </c>
      <c r="O9" s="178">
        <f t="shared" si="2"/>
        <v>-1.7397481569572562E-2</v>
      </c>
    </row>
    <row r="10" spans="1:15" x14ac:dyDescent="0.25">
      <c r="A10" s="156" t="s">
        <v>68</v>
      </c>
      <c r="B10" s="273">
        <f>YTD!$H$54</f>
        <v>1799369</v>
      </c>
      <c r="C10" s="156" t="s">
        <v>68</v>
      </c>
      <c r="D10" s="175">
        <f t="shared" si="0"/>
        <v>9.7889502097582834E-2</v>
      </c>
      <c r="E10" s="156" t="s">
        <v>65</v>
      </c>
      <c r="F10" s="273">
        <f>YTD!$C$57</f>
        <v>840056</v>
      </c>
      <c r="G10" s="175">
        <f t="shared" si="1"/>
        <v>0.10208573998599574</v>
      </c>
      <c r="H10" s="156" t="s">
        <v>68</v>
      </c>
      <c r="I10" s="273">
        <f>IF($B$2="Q1",'Q1'!H54,IF(Data!$B$2="Q2",'Q2'!H54,IF(Data!$B$2="Q3",'Q3'!H54,'Q4'!H54)))</f>
        <v>1799369</v>
      </c>
      <c r="J10" s="273">
        <f>IF($B$2="Q1",'Previous Quarter'!H54,IF(Data!$B$2="Q2",'Q1'!H54,IF(Data!$B$2="Q3",#REF!,IF(Data!$B$2="Q4",'Q3'!H54))))</f>
        <v>1781300</v>
      </c>
      <c r="K10" s="178">
        <f t="shared" si="3"/>
        <v>1.0143715264132937E-2</v>
      </c>
      <c r="L10" s="156" t="s">
        <v>65</v>
      </c>
      <c r="M10" s="273">
        <f>IF($B$2="Q1",'Q1'!C57,IF(Data!$B$2="Q2",'Q2'!C57,IF(Data!$B$2="Q3",'Q3'!C57,'Q4'!C57)))</f>
        <v>840056</v>
      </c>
      <c r="N10" s="273">
        <f>IF($B$2="Q1",'Previous Quarter'!C57,IF(Data!$B$2="Q2",'Q1'!C57,IF(Data!$B$2="Q3",#REF!,'Q3'!C57)))</f>
        <v>756395</v>
      </c>
      <c r="O10" s="178">
        <f t="shared" si="2"/>
        <v>0.11060490881087262</v>
      </c>
    </row>
    <row r="11" spans="1:15" x14ac:dyDescent="0.25">
      <c r="A11" s="156" t="s">
        <v>66</v>
      </c>
      <c r="B11" s="273">
        <f>YTD!$D$54</f>
        <v>844730</v>
      </c>
      <c r="C11" s="156" t="s">
        <v>66</v>
      </c>
      <c r="D11" s="175">
        <f t="shared" si="0"/>
        <v>4.5955109322707653E-2</v>
      </c>
      <c r="E11" s="156" t="s">
        <v>83</v>
      </c>
      <c r="F11" s="273">
        <f>YTD!$F$57</f>
        <v>971498</v>
      </c>
      <c r="G11" s="175">
        <f t="shared" si="1"/>
        <v>0.11805890586450771</v>
      </c>
      <c r="H11" s="156" t="s">
        <v>66</v>
      </c>
      <c r="I11" s="273">
        <f>IF($B$2="Q1",'Q1'!D54,IF(Data!$B$2="Q2",'Q2'!D54,IF(Data!$B$2="Q3",'Q3'!D54,'Q4'!D54)))</f>
        <v>844730</v>
      </c>
      <c r="J11" s="273">
        <f>IF($B$2="Q1",'Previous Quarter'!D54,IF(Data!$B$2="Q2",'Q1'!D54,IF(Data!$B$2="Q3",#REF!,IF(Data!$B$2="Q4",'Q3'!D54))))</f>
        <v>856920</v>
      </c>
      <c r="K11" s="178">
        <f t="shared" si="3"/>
        <v>-1.4225365261634692E-2</v>
      </c>
      <c r="L11" s="156" t="s">
        <v>83</v>
      </c>
      <c r="M11" s="273">
        <f>IF($B$2="Q1",'Q1'!F57,IF(Data!$B$2="Q2",'Q2'!F57,IF(Data!$B$2="Q3",'Q3'!F57,'Q4'!F57)))</f>
        <v>971498</v>
      </c>
      <c r="N11" s="273">
        <f>IF($B$2="Q1",'Previous Quarter'!F57,IF(Data!$B$2="Q2",'Q1'!F57,IF(Data!$B$2="Q3",#REF!,'Q3'!F57)))</f>
        <v>962626</v>
      </c>
      <c r="O11" s="178">
        <f t="shared" si="2"/>
        <v>9.2164558198095624E-3</v>
      </c>
    </row>
    <row r="12" spans="1:15" x14ac:dyDescent="0.25">
      <c r="A12" s="156" t="s">
        <v>83</v>
      </c>
      <c r="B12" s="273">
        <f>YTD!$F$54</f>
        <v>1372545</v>
      </c>
      <c r="C12" s="156" t="s">
        <v>83</v>
      </c>
      <c r="D12" s="175">
        <f t="shared" si="0"/>
        <v>7.4669368348863868E-2</v>
      </c>
      <c r="E12" s="156" t="s">
        <v>69</v>
      </c>
      <c r="F12" s="273">
        <f>YTD!$I$57</f>
        <v>0</v>
      </c>
      <c r="G12" s="175">
        <f t="shared" si="1"/>
        <v>0</v>
      </c>
      <c r="H12" s="156" t="s">
        <v>83</v>
      </c>
      <c r="I12" s="273">
        <f>IF($B$2="Q1",'Q1'!F54,IF(Data!$B$2="Q2",'Q2'!F54,IF(Data!$B$2="Q3",'Q3'!F54,'Q4'!F54)))</f>
        <v>1372545</v>
      </c>
      <c r="J12" s="273">
        <f>IF($B$2="Q1",'Previous Quarter'!F54,IF(Data!$B$2="Q2",'Q1'!F54,IF(Data!$B$2="Q3",#REF!,IF(Data!$B$2="Q4",'Q3'!F54))))</f>
        <v>1327668</v>
      </c>
      <c r="K12" s="178">
        <f t="shared" si="3"/>
        <v>3.3801372029754424E-2</v>
      </c>
      <c r="L12" s="156" t="s">
        <v>69</v>
      </c>
      <c r="M12" s="273">
        <f>IF($B$2="Q1",'Q1'!I57,IF(Data!$B$2="Q2",'Q2'!I57,IF(Data!$B$2="Q3",'Q3'!I57,'Q4'!I57)))</f>
        <v>0</v>
      </c>
      <c r="N12" s="273">
        <f>IF($B$2="Q1",'Previous Quarter'!I57,IF(Data!$B$2="Q2",'Q1'!I57,IF(Data!$B$2="Q3",#REF!,'Q3'!I57)))</f>
        <v>0</v>
      </c>
      <c r="O12" s="178" t="e">
        <f t="shared" si="2"/>
        <v>#DIV/0!</v>
      </c>
    </row>
    <row r="13" spans="1:15" x14ac:dyDescent="0.25">
      <c r="A13" s="156" t="s">
        <v>69</v>
      </c>
      <c r="B13" s="273">
        <f>YTD!$I$54</f>
        <v>0</v>
      </c>
      <c r="C13" s="156" t="s">
        <v>69</v>
      </c>
      <c r="D13" s="175">
        <f t="shared" si="0"/>
        <v>0</v>
      </c>
      <c r="E13" s="156" t="s">
        <v>66</v>
      </c>
      <c r="F13" s="273">
        <f>YTD!$D$57</f>
        <v>217601</v>
      </c>
      <c r="G13" s="175">
        <f t="shared" si="1"/>
        <v>2.6443426517628182E-2</v>
      </c>
      <c r="H13" s="156" t="s">
        <v>69</v>
      </c>
      <c r="I13" s="273">
        <f>IF($B$2="Q1",'Q1'!I54,IF(Data!$B$2="Q2",'Q2'!I54,IF(Data!$B$2="Q3",'Q3'!I54,'Q4'!I54)))</f>
        <v>0</v>
      </c>
      <c r="J13" s="273">
        <f>IF($B$2="Q1",'Previous Quarter'!I54,IF(Data!$B$2="Q2",'Q1'!I54,IF(Data!$B$2="Q3",#REF!,IF(Data!$B$2="Q4",'Q3'!I54))))</f>
        <v>0</v>
      </c>
      <c r="K13" s="178" t="e">
        <f t="shared" si="3"/>
        <v>#DIV/0!</v>
      </c>
      <c r="L13" s="156" t="s">
        <v>66</v>
      </c>
      <c r="M13" s="273">
        <f>IF($B$2="Q1",'Q1'!D57,IF(Data!$B$2="Q2",'Q2'!D57,IF(Data!$B$2="Q3",'Q3'!D57,'Q4'!D57)))</f>
        <v>217601</v>
      </c>
      <c r="N13" s="273">
        <f>IF($B$2="Q1",'Previous Quarter'!D57,IF(Data!$B$2="Q2",'Q1'!D57,IF(Data!$B$2="Q3",#REF!,'Q3'!D57)))</f>
        <v>254345</v>
      </c>
      <c r="O13" s="178">
        <f t="shared" si="2"/>
        <v>-0.1444651949124221</v>
      </c>
    </row>
    <row r="14" spans="1:15" x14ac:dyDescent="0.25">
      <c r="A14" s="156" t="s">
        <v>70</v>
      </c>
      <c r="B14" s="273">
        <f>YTD!$K$54</f>
        <v>552881</v>
      </c>
      <c r="C14" s="156" t="s">
        <v>70</v>
      </c>
      <c r="D14" s="175">
        <f t="shared" si="0"/>
        <v>3.0077902758808058E-2</v>
      </c>
      <c r="E14" s="156" t="s">
        <v>82</v>
      </c>
      <c r="F14" s="273">
        <f>YTD!$G$57</f>
        <v>239020</v>
      </c>
      <c r="G14" s="175">
        <f t="shared" si="1"/>
        <v>2.9046317830540704E-2</v>
      </c>
      <c r="H14" s="156" t="s">
        <v>70</v>
      </c>
      <c r="I14" s="273">
        <f>IF($B$2="Q1",'Q1'!K54,IF(Data!$B$2="Q2",'Q2'!K54,IF(Data!$B$2="Q3",'Q3'!K54,'Q4'!K54)))</f>
        <v>552881</v>
      </c>
      <c r="J14" s="273">
        <f>IF($B$2="Q1",'Previous Quarter'!K54,IF(Data!$B$2="Q2",'Q1'!K54,IF(Data!$B$2="Q3",#REF!,IF(Data!$B$2="Q4",'Q3'!K54))))</f>
        <v>539995</v>
      </c>
      <c r="K14" s="178">
        <f t="shared" si="3"/>
        <v>2.3863183918369616E-2</v>
      </c>
      <c r="L14" s="156" t="s">
        <v>82</v>
      </c>
      <c r="M14" s="273">
        <f>IF($B$2="Q1",'Q1'!G57,IF(Data!$B$2="Q2",'Q2'!G57,IF(Data!$B$2="Q3",'Q3'!G57,'Q4'!G57)))</f>
        <v>239020</v>
      </c>
      <c r="N14" s="273">
        <f>IF($B$2="Q1",'Previous Quarter'!G57,IF(Data!$B$2="Q2",'Q1'!G57,IF(Data!$B$2="Q3",#REF!,'Q3'!G57)))</f>
        <v>223471</v>
      </c>
      <c r="O14" s="178">
        <f t="shared" si="2"/>
        <v>6.9579498010927596E-2</v>
      </c>
    </row>
    <row r="15" spans="1:15" x14ac:dyDescent="0.25">
      <c r="A15" s="156" t="s">
        <v>67</v>
      </c>
      <c r="B15" s="273">
        <f>YTD!$E$54</f>
        <v>369974</v>
      </c>
      <c r="C15" s="156" t="s">
        <v>67</v>
      </c>
      <c r="D15" s="175">
        <f t="shared" si="0"/>
        <v>2.012737278960075E-2</v>
      </c>
      <c r="E15" s="156" t="s">
        <v>67</v>
      </c>
      <c r="F15" s="273">
        <f>YTD!$E$57</f>
        <v>235230</v>
      </c>
      <c r="G15" s="175">
        <f t="shared" si="1"/>
        <v>2.8585747398870764E-2</v>
      </c>
      <c r="H15" s="156" t="s">
        <v>67</v>
      </c>
      <c r="I15" s="273">
        <f>IF($B$2="Q1",'Q1'!E54,IF(Data!$B$2="Q2",'Q2'!E54,IF(Data!$B$2="Q3",'Q3'!E54,'Q4'!E54)))</f>
        <v>369974</v>
      </c>
      <c r="J15" s="273">
        <f>IF($B$2="Q1",'Previous Quarter'!E54,IF(Data!$B$2="Q2",'Q1'!E54,IF(Data!$B$2="Q3",#REF!,IF(Data!$B$2="Q4",'Q3'!E54))))</f>
        <v>346486</v>
      </c>
      <c r="K15" s="178">
        <f t="shared" si="3"/>
        <v>6.7789174742991065E-2</v>
      </c>
      <c r="L15" s="156" t="s">
        <v>67</v>
      </c>
      <c r="M15" s="273">
        <f>IF($B$2="Q1",'Q1'!E57,IF(Data!$B$2="Q2",'Q2'!E57,IF(Data!$B$2="Q3",'Q3'!E57,'Q4'!E57)))</f>
        <v>235230</v>
      </c>
      <c r="N15" s="273">
        <f>IF($B$2="Q1",'Previous Quarter'!E57,IF(Data!$B$2="Q2",'Q1'!E57,IF(Data!$B$2="Q3",#REF!,'Q3'!E57)))</f>
        <v>222761</v>
      </c>
      <c r="O15" s="178">
        <f t="shared" si="2"/>
        <v>5.5974789123769422E-2</v>
      </c>
    </row>
    <row r="16" spans="1:15" x14ac:dyDescent="0.25">
      <c r="A16" s="156" t="s">
        <v>82</v>
      </c>
      <c r="B16" s="273">
        <f>YTD!$G$54</f>
        <v>246321</v>
      </c>
      <c r="C16" s="156" t="s">
        <v>82</v>
      </c>
      <c r="D16" s="175">
        <f t="shared" si="0"/>
        <v>1.3400386494475953E-2</v>
      </c>
      <c r="E16" s="156" t="s">
        <v>70</v>
      </c>
      <c r="F16" s="273">
        <f>YTD!$K$57</f>
        <v>52519</v>
      </c>
      <c r="G16" s="175">
        <f t="shared" si="1"/>
        <v>6.3822423485154689E-3</v>
      </c>
      <c r="H16" s="156" t="s">
        <v>82</v>
      </c>
      <c r="I16" s="273">
        <f>IF($B$2="Q1",'Q1'!G54,IF(Data!$B$2="Q2",'Q2'!G54,IF(Data!$B$2="Q3",'Q3'!G54,'Q4'!G54)))</f>
        <v>246321</v>
      </c>
      <c r="J16" s="273">
        <f>IF($B$2="Q1",'Previous Quarter'!G54,IF(Data!$B$2="Q2",'Q1'!G54,IF(Data!$B$2="Q3",#REF!,IF(Data!$B$2="Q4",'Q3'!G54))))</f>
        <v>259986</v>
      </c>
      <c r="K16" s="178">
        <f t="shared" si="3"/>
        <v>-5.2560522489672523E-2</v>
      </c>
      <c r="L16" s="156" t="s">
        <v>70</v>
      </c>
      <c r="M16" s="273">
        <f>IF($B$2="Q1",'Q1'!K57,IF(Data!$B$2="Q2",'Q2'!K57,IF(Data!$B$2="Q3",'Q3'!K57,'Q4'!K57)))</f>
        <v>52519</v>
      </c>
      <c r="N16" s="273">
        <f>IF($B$2="Q1",'Previous Quarter'!K57,IF(Data!$B$2="Q2",'Q1'!K57,IF(Data!$B$2="Q3",#REF!,'Q3'!K57)))</f>
        <v>49489</v>
      </c>
      <c r="O16" s="178">
        <f t="shared" si="2"/>
        <v>6.1225726929216594E-2</v>
      </c>
    </row>
    <row r="17" spans="1:20" x14ac:dyDescent="0.25">
      <c r="A17" s="156" t="s">
        <v>4</v>
      </c>
      <c r="B17" s="273">
        <f>YTD!$M$54</f>
        <v>18381634</v>
      </c>
      <c r="C17" s="156"/>
      <c r="D17" s="156"/>
      <c r="E17" s="156" t="s">
        <v>4</v>
      </c>
      <c r="F17" s="273">
        <f>SUM(F7:F16)</f>
        <v>8228926</v>
      </c>
      <c r="G17" s="175">
        <f>SUM(G7:G16)</f>
        <v>1</v>
      </c>
      <c r="H17" s="156"/>
      <c r="I17" s="276">
        <f>SUM(I7:I16)</f>
        <v>18381634</v>
      </c>
      <c r="J17" s="276">
        <f>SUM(J7:J16)</f>
        <v>17750615</v>
      </c>
      <c r="K17" s="178">
        <f t="shared" si="3"/>
        <v>3.554913449477666E-2</v>
      </c>
      <c r="L17" s="156"/>
      <c r="M17" s="273">
        <f>SUM(M7:M16)</f>
        <v>8228926</v>
      </c>
      <c r="N17" s="273">
        <f>SUM(N7:N16)</f>
        <v>8243508</v>
      </c>
      <c r="O17" s="178">
        <f t="shared" ref="O17:O18" si="4">(M17-N17)/N17</f>
        <v>-1.7689071206093328E-3</v>
      </c>
    </row>
    <row r="18" spans="1:20" x14ac:dyDescent="0.25">
      <c r="B18">
        <f>'Q2'!M54</f>
        <v>18381634</v>
      </c>
      <c r="F18" s="274">
        <f>'Q2'!M57</f>
        <v>8228926</v>
      </c>
      <c r="I18">
        <f>'Q2'!M54</f>
        <v>18381634</v>
      </c>
      <c r="J18">
        <f>'Previous Quarter'!M54</f>
        <v>17750615</v>
      </c>
      <c r="K18" s="178">
        <f t="shared" si="3"/>
        <v>3.554913449477666E-2</v>
      </c>
      <c r="M18">
        <f>'Q2'!M57</f>
        <v>8228926</v>
      </c>
      <c r="N18">
        <f>'Previous Quarter'!M57</f>
        <v>8243508</v>
      </c>
      <c r="O18" s="178">
        <f t="shared" si="4"/>
        <v>-1.7689071206093328E-3</v>
      </c>
    </row>
    <row r="19" spans="1:20" x14ac:dyDescent="0.25">
      <c r="B19">
        <f>B17-B18</f>
        <v>0</v>
      </c>
      <c r="F19" s="275">
        <f>F17-F18</f>
        <v>0</v>
      </c>
      <c r="I19" s="275">
        <f>I17-I18</f>
        <v>0</v>
      </c>
      <c r="J19" s="275">
        <f>J17-J18</f>
        <v>0</v>
      </c>
      <c r="M19" s="275">
        <f>M17-M18</f>
        <v>0</v>
      </c>
      <c r="N19" s="275">
        <f>N17-N18</f>
        <v>0</v>
      </c>
    </row>
    <row r="20" spans="1:20" s="155" customFormat="1" x14ac:dyDescent="0.25">
      <c r="A20" s="168" t="s">
        <v>117</v>
      </c>
      <c r="N20"/>
    </row>
    <row r="21" spans="1:20" x14ac:dyDescent="0.25">
      <c r="A21" s="155"/>
      <c r="B21" s="155" t="str">
        <f>"PAT "&amp;$B$1&amp;" "&amp;$B$2</f>
        <v>PAT 2026 Q2</v>
      </c>
      <c r="C21" s="155" t="str">
        <f>"PAT "&amp;IF($B$2="Q1",($B$1-1)&amp;" Q4",IF($B$2="Q2",$B$1&amp;" Q1",IF($B$2="Q3",$B$1&amp;" Q2", $B$1&amp;" Q3")))</f>
        <v>PAT 2026 Q1</v>
      </c>
      <c r="D21" s="155" t="s">
        <v>86</v>
      </c>
      <c r="E21" s="155"/>
      <c r="F21" s="155" t="str">
        <f>"Total Inc. "&amp;$B$1&amp;" "&amp;$B$2</f>
        <v>Total Inc. 2026 Q2</v>
      </c>
      <c r="G21" s="155" t="str">
        <f>"Total Inc. "&amp;IF($B$2="Q1",($B$1-1)&amp;" Q4",IF($B$2="Q2",$B$1&amp;" Q1",IF($B$2="Q3",$B$1&amp;" Q2", $B$1&amp;" Q3")))</f>
        <v>Total Inc. 2026 Q1</v>
      </c>
      <c r="H21" s="155" t="s">
        <v>86</v>
      </c>
      <c r="I21" s="155"/>
      <c r="J21" s="155" t="str">
        <f>"Net Int. Inc. "&amp;$B$1&amp;" "&amp;$B$2</f>
        <v>Net Int. Inc. 2026 Q2</v>
      </c>
      <c r="K21" s="155" t="str">
        <f>"Net Int. Inc. "&amp;IF($B$2="Q1",($B$1-1)&amp;" Q4",IF($B$2="Q2",$B$1&amp;" Q1",IF($B$2="Q3",$B$1&amp;" Q2", $B$1&amp;" Q3")))</f>
        <v>Net Int. Inc. 2026 Q1</v>
      </c>
      <c r="L21" s="155" t="s">
        <v>86</v>
      </c>
      <c r="M21" s="155"/>
      <c r="N21" s="156"/>
      <c r="O21" s="156" t="str">
        <f>"Gross Loans " &amp;$B$1&amp;" "&amp;$B$2</f>
        <v>Gross Loans 2026 Q2</v>
      </c>
      <c r="P21" s="156" t="str">
        <f>"Gross Loans "&amp;IF($B$2="Q1",($B$1-1)&amp;" Q4",IF($B$2="Q2",$B$1&amp;" Q1",IF($B$2="Q3",$B$1&amp;" Q2", $B$1&amp;" Q3")))</f>
        <v>Gross Loans 2026 Q1</v>
      </c>
      <c r="Q21" s="156" t="s">
        <v>86</v>
      </c>
      <c r="R21" s="156" t="str">
        <f>"Mkt Share " &amp;$B$1&amp;" "&amp;$B$2</f>
        <v>Mkt Share 2026 Q2</v>
      </c>
      <c r="S21" s="156" t="str">
        <f>"Mkt Share "&amp;IF($B$2="Q1",($B$1-1)&amp;" Q4",IF($B$2="Q2",$B$1&amp;" Q1",IF($B$2="Q3",$B$1&amp;" Q2", $B$1&amp;" Q3")))</f>
        <v>Mkt Share 2026 Q1</v>
      </c>
      <c r="T21" s="156" t="s">
        <v>86</v>
      </c>
    </row>
    <row r="22" spans="1:20" x14ac:dyDescent="0.25">
      <c r="A22" s="155" t="s">
        <v>65</v>
      </c>
      <c r="B22" s="277">
        <f>IF($B$2="Q1",'Q1'!C40,IF(Data!$B$2="Q2",'Q2'!C40,IF(Data!$B$2="Q3",'Q3'!C40,'Q4'!C40)))</f>
        <v>98552</v>
      </c>
      <c r="C22" s="277">
        <f>IF($B$2="Q1",'Previous Quarter'!C40,IF(Data!$B$2="Q2",'Q1'!C40,IF(Data!$B$2="Q3",#REF!,'Q3'!C40)))</f>
        <v>90082</v>
      </c>
      <c r="D22" s="176">
        <f t="shared" ref="D22:D31" si="5">(B22-C22)/C22</f>
        <v>9.402544348482493E-2</v>
      </c>
      <c r="E22" s="155" t="s">
        <v>65</v>
      </c>
      <c r="F22" s="277">
        <f>IF($B$2="Q1",'Q1'!C29,IF(Data!$B$2="Q2",'Q2'!C29,IF(Data!$B$2="Q3",'Q3'!C29,'Q4'!C29)))</f>
        <v>230524</v>
      </c>
      <c r="G22" s="277">
        <f>IF($B$2="Q1",'Previous Quarter'!C29,IF(Data!$B$2="Q2",'Q1'!C29,IF(Data!$B$2="Q3",#REF!,'Q3'!C29)))</f>
        <v>221893</v>
      </c>
      <c r="H22" s="176">
        <f t="shared" ref="H22:H31" si="6">(F22-G22)/G22</f>
        <v>3.889712609230575E-2</v>
      </c>
      <c r="I22" s="155" t="s">
        <v>65</v>
      </c>
      <c r="J22" s="277">
        <f>IF($B$2="Q1",'Q1'!C23,IF(Data!$B$2="Q2",'Q2'!C23,IF(Data!$B$2="Q3",'Q3'!C23,'Q4'!C23)))</f>
        <v>201262</v>
      </c>
      <c r="K22" s="277">
        <f>IF($B$2="Q1",'Previous Quarter'!C23,IF(Data!$B$2="Q2",'Q1'!C23,IF(Data!$B$2="Q3",#REF!,'Q3'!C23)))</f>
        <v>193510</v>
      </c>
      <c r="L22" s="176">
        <f t="shared" ref="L22:L31" si="7">(J22-K22)/K22</f>
        <v>4.0059945222469126E-2</v>
      </c>
      <c r="M22" s="155"/>
      <c r="N22" s="156" t="s">
        <v>65</v>
      </c>
      <c r="O22" s="273">
        <f>IF($B$2="Q1",'Q1'!C49,IF(Data!$B$2="Q2",'Q2'!C49,IF(Data!$B$2="Q3",'Q3'!C49,'Q4'!C49)))</f>
        <v>3912125</v>
      </c>
      <c r="P22" s="273">
        <f>'Previous Quarter'!C49</f>
        <v>3789722</v>
      </c>
      <c r="Q22" s="178">
        <f t="shared" ref="Q22:Q31" si="8">(O22-P22)/P22</f>
        <v>3.2298675206255234E-2</v>
      </c>
      <c r="R22" s="216">
        <f t="shared" ref="R22:R31" si="9">O22/O$36</f>
        <v>0.31452159794699208</v>
      </c>
      <c r="S22" s="216">
        <f t="shared" ref="S22:S31" si="10">P22/P$36</f>
        <v>0.31723030098072369</v>
      </c>
      <c r="T22" s="178">
        <f t="shared" ref="T22:T31" si="11">(R22-S22)/S22</f>
        <v>-8.5386012160805543E-3</v>
      </c>
    </row>
    <row r="23" spans="1:20" x14ac:dyDescent="0.25">
      <c r="A23" s="155" t="s">
        <v>71</v>
      </c>
      <c r="B23" s="277">
        <f>IF($B$2="Q1",'Q1'!L40,IF(Data!$B$2="Q2",'Q2'!L40,IF(Data!$B$2="Q3",'Q3'!L40,'Q4'!L40)))</f>
        <v>32585</v>
      </c>
      <c r="C23" s="277">
        <f>IF($B$2="Q1",'Previous Quarter'!L40,IF(Data!$B$2="Q2",'Q1'!L40,IF(Data!$B$2="Q3",#REF!,'Q3'!L40)))</f>
        <v>36261</v>
      </c>
      <c r="D23" s="176">
        <f t="shared" si="5"/>
        <v>-0.10137613413860622</v>
      </c>
      <c r="E23" s="155" t="s">
        <v>66</v>
      </c>
      <c r="F23" s="277">
        <f>IF($B$2="Q1",'Q1'!D29,IF(Data!$B$2="Q2",'Q2'!D29,IF(Data!$B$2="Q3",'Q3'!D29,'Q4'!D29)))</f>
        <v>59262</v>
      </c>
      <c r="G23" s="277">
        <f>IF($B$2="Q1",'Previous Quarter'!D29,IF(Data!$B$2="Q2",'Q1'!D29,IF(Data!$B$2="Q3",#REF!,'Q3'!D29)))</f>
        <v>48952</v>
      </c>
      <c r="H23" s="176">
        <f t="shared" si="6"/>
        <v>0.21061447949011278</v>
      </c>
      <c r="I23" s="155" t="s">
        <v>71</v>
      </c>
      <c r="J23" s="277">
        <f>IF($B$2="Q1",'Q1'!L23,IF(Data!$B$2="Q2",'Q2'!L23,IF(Data!$B$2="Q3",'Q3'!L23,'Q4'!L23)))</f>
        <v>117881</v>
      </c>
      <c r="K23" s="277">
        <f>IF($B$2="Q1",'Previous Quarter'!L23,IF(Data!$B$2="Q2",'Q1'!L23,IF(Data!$B$2="Q3",#REF!,'Q3'!L23)))</f>
        <v>111517</v>
      </c>
      <c r="L23" s="176">
        <f t="shared" si="7"/>
        <v>5.7067532304491693E-2</v>
      </c>
      <c r="M23" s="155"/>
      <c r="N23" s="156" t="s">
        <v>161</v>
      </c>
      <c r="O23" s="273">
        <f>IF($B$2="Q1",'Q1'!J49,IF(Data!$B$2="Q2",'Q2'!J49,IF(Data!$B$2="Q3",'Q3'!J49,'Q4'!J49)))</f>
        <v>2253761</v>
      </c>
      <c r="P23" s="273">
        <f>'Previous Quarter'!J49</f>
        <v>2296401</v>
      </c>
      <c r="Q23" s="178">
        <f t="shared" si="8"/>
        <v>-1.8568185608698131E-2</v>
      </c>
      <c r="R23" s="216">
        <f t="shared" si="9"/>
        <v>0.18119474994040602</v>
      </c>
      <c r="S23" s="216">
        <f t="shared" si="10"/>
        <v>0.19222728749033172</v>
      </c>
      <c r="T23" s="178">
        <f t="shared" si="11"/>
        <v>-5.7393191642890924E-2</v>
      </c>
    </row>
    <row r="24" spans="1:20" x14ac:dyDescent="0.25">
      <c r="A24" s="155" t="s">
        <v>68</v>
      </c>
      <c r="B24" s="277">
        <f>IF($B$2="Q1",'Q1'!H40,IF(Data!$B$2="Q2",'Q2'!H40,IF(Data!$B$2="Q3",'Q3'!H40,'Q4'!H40)))</f>
        <v>38112</v>
      </c>
      <c r="C24" s="277">
        <f>IF($B$2="Q1",'Previous Quarter'!H40,IF(Data!$B$2="Q2",'Q1'!H40,IF(Data!$B$2="Q3",#REF!,'Q3'!H40)))</f>
        <v>30435</v>
      </c>
      <c r="D24" s="176">
        <f t="shared" si="5"/>
        <v>0.25224248398225729</v>
      </c>
      <c r="E24" s="155" t="s">
        <v>67</v>
      </c>
      <c r="F24" s="277">
        <f>IF($B$2="Q1",'Q1'!E29,IF(Data!$B$2="Q2",'Q2'!E29,IF(Data!$B$2="Q3",'Q3'!E29,'Q4'!E29)))</f>
        <v>19230</v>
      </c>
      <c r="G24" s="277">
        <f>IF($B$2="Q1",'Previous Quarter'!E29,IF(Data!$B$2="Q2",'Q1'!E29,IF(Data!$B$2="Q3",#REF!,'Q3'!E29)))</f>
        <v>23650</v>
      </c>
      <c r="H24" s="176">
        <f t="shared" si="6"/>
        <v>-0.18689217758985202</v>
      </c>
      <c r="I24" s="155" t="s">
        <v>161</v>
      </c>
      <c r="J24" s="277">
        <f>IF($B$2="Q1",'Q1'!J23,IF(Data!$B$2="Q2",'Q2'!J23,IF(Data!$B$2="Q3",'Q3'!J23,'Q4'!J23)))</f>
        <v>171690</v>
      </c>
      <c r="K24" s="277">
        <f>IF($B$2="Q1",'Previous Quarter'!J23,IF(Data!$B$2="Q2",'Q1'!J23,IF(Data!$B$2="Q3",#REF!,'Q3'!J23)))</f>
        <v>160968</v>
      </c>
      <c r="L24" s="176">
        <f t="shared" si="7"/>
        <v>6.6609512449679442E-2</v>
      </c>
      <c r="M24" s="155"/>
      <c r="N24" s="156" t="s">
        <v>71</v>
      </c>
      <c r="O24" s="273">
        <f>IF($B$2="Q1",'Q1'!L49,IF(Data!$B$2="Q2",'Q2'!L49,IF(Data!$B$2="Q3",'Q3'!L49,'Q4'!L49)))</f>
        <v>2728660</v>
      </c>
      <c r="P24" s="273">
        <f>'Previous Quarter'!L49</f>
        <v>2619524</v>
      </c>
      <c r="Q24" s="178">
        <f t="shared" si="8"/>
        <v>4.1662531055260424E-2</v>
      </c>
      <c r="R24" s="216">
        <f t="shared" si="9"/>
        <v>0.21937502085287139</v>
      </c>
      <c r="S24" s="216">
        <f t="shared" si="10"/>
        <v>0.21927528904395344</v>
      </c>
      <c r="T24" s="178">
        <f t="shared" si="11"/>
        <v>4.5482466060259568E-4</v>
      </c>
    </row>
    <row r="25" spans="1:20" x14ac:dyDescent="0.25">
      <c r="A25" s="155" t="s">
        <v>161</v>
      </c>
      <c r="B25" s="277">
        <f>IF($B$2="Q1",'Q1'!J40,IF(Data!$B$2="Q2",'Q2'!J40,IF(Data!$B$2="Q3",'Q3'!J40,'Q4'!J40)))</f>
        <v>84631</v>
      </c>
      <c r="C25" s="277">
        <f>IF($B$2="Q1",'Previous Quarter'!J40,IF(Data!$B$2="Q2",'Q1'!J40,IF(Data!$B$2="Q3",#REF!,'Q3'!J40)))</f>
        <v>59168</v>
      </c>
      <c r="D25" s="176">
        <f t="shared" si="5"/>
        <v>0.43035086533261224</v>
      </c>
      <c r="E25" s="155" t="s">
        <v>83</v>
      </c>
      <c r="F25" s="277">
        <f>IF($B$2="Q1",'Q1'!F29,IF(Data!$B$2="Q2",'Q2'!F29,IF(Data!$B$2="Q3",'Q3'!F29,'Q4'!F29)))</f>
        <v>83824</v>
      </c>
      <c r="G25" s="277">
        <f>IF($B$2="Q1",'Previous Quarter'!F29,IF(Data!$B$2="Q2",'Q1'!F29,IF(Data!$B$2="Q3",#REF!,'Q3'!F29)))</f>
        <v>73990</v>
      </c>
      <c r="H25" s="176">
        <f t="shared" si="6"/>
        <v>0.13290985268279498</v>
      </c>
      <c r="I25" s="155" t="s">
        <v>66</v>
      </c>
      <c r="J25" s="277">
        <f>IF($B$2="Q1",'Q1'!D23,IF(Data!$B$2="Q2",'Q2'!D23,IF(Data!$B$2="Q3",'Q3'!D23,'Q4'!D23)))</f>
        <v>45714</v>
      </c>
      <c r="K25" s="277">
        <f>IF($B$2="Q1",'Previous Quarter'!D23,IF(Data!$B$2="Q2",'Q1'!D23,IF(Data!$B$2="Q3",#REF!,'Q3'!D23)))</f>
        <v>40156</v>
      </c>
      <c r="L25" s="176">
        <f t="shared" si="7"/>
        <v>0.13841020021914532</v>
      </c>
      <c r="M25" s="155"/>
      <c r="N25" s="156" t="s">
        <v>68</v>
      </c>
      <c r="O25" s="273">
        <f>IF($B$2="Q1",'Q1'!H49,IF(Data!$B$2="Q2",'Q2'!H49,IF(Data!$B$2="Q3",'Q3'!H49,'Q4'!H49)))</f>
        <v>1259747</v>
      </c>
      <c r="P25" s="273">
        <f>'Previous Quarter'!H49</f>
        <v>1101541</v>
      </c>
      <c r="Q25" s="178">
        <f t="shared" si="8"/>
        <v>0.14362243438964142</v>
      </c>
      <c r="R25" s="216">
        <f t="shared" si="9"/>
        <v>0.10127939149411878</v>
      </c>
      <c r="S25" s="216">
        <f t="shared" si="10"/>
        <v>9.2207867218916689E-2</v>
      </c>
      <c r="T25" s="178">
        <f t="shared" si="11"/>
        <v>9.8381239571074766E-2</v>
      </c>
    </row>
    <row r="26" spans="1:20" x14ac:dyDescent="0.25">
      <c r="A26" s="155" t="s">
        <v>83</v>
      </c>
      <c r="B26" s="277">
        <f>IF($B$2="Q1",'Q1'!F40,IF(Data!$B$2="Q2",'Q2'!F40,IF(Data!$B$2="Q3",'Q3'!F40,'Q4'!F40)))</f>
        <v>27282</v>
      </c>
      <c r="C26" s="277">
        <f>IF($B$2="Q1",'Previous Quarter'!F40,IF(Data!$B$2="Q2",'Q1'!F40,IF(Data!$B$2="Q3",#REF!,'Q3'!F40)))</f>
        <v>23268</v>
      </c>
      <c r="D26" s="176">
        <f t="shared" si="5"/>
        <v>0.17251160391954615</v>
      </c>
      <c r="E26" s="155" t="s">
        <v>82</v>
      </c>
      <c r="F26" s="277">
        <f>IF($B$2="Q1",'Q1'!G29,IF(Data!$B$2="Q2",'Q2'!G29,IF(Data!$B$2="Q3",'Q3'!G29,'Q4'!G29)))</f>
        <v>-14481</v>
      </c>
      <c r="G26" s="277">
        <f>IF($B$2="Q1",'Previous Quarter'!G29,IF(Data!$B$2="Q2",'Q1'!G29,IF(Data!$B$2="Q3",#REF!,'Q3'!G29)))</f>
        <v>-7691</v>
      </c>
      <c r="H26" s="176">
        <f t="shared" si="6"/>
        <v>0.88285008451436742</v>
      </c>
      <c r="I26" s="155" t="s">
        <v>68</v>
      </c>
      <c r="J26" s="277">
        <f>IF($B$2="Q1",'Q1'!H23,IF(Data!$B$2="Q2",'Q2'!H23,IF(Data!$B$2="Q3",'Q3'!H23,'Q4'!H23)))</f>
        <v>60860</v>
      </c>
      <c r="K26" s="277">
        <f>IF($B$2="Q1",'Previous Quarter'!H23,IF(Data!$B$2="Q2",'Q1'!H23,IF(Data!$B$2="Q3",#REF!,'Q3'!H23)))</f>
        <v>51657</v>
      </c>
      <c r="L26" s="176">
        <f t="shared" si="7"/>
        <v>0.17815591304179493</v>
      </c>
      <c r="M26" s="155"/>
      <c r="N26" s="156" t="s">
        <v>83</v>
      </c>
      <c r="O26" s="273">
        <f>IF($B$2="Q1",'Q1'!F49,IF(Data!$B$2="Q2",'Q2'!F49,IF(Data!$B$2="Q3",'Q3'!F49,'Q4'!F49)))</f>
        <v>950343</v>
      </c>
      <c r="P26" s="273">
        <f>'Previous Quarter'!F49</f>
        <v>865674</v>
      </c>
      <c r="Q26" s="178">
        <f t="shared" si="8"/>
        <v>9.7807026663617014E-2</v>
      </c>
      <c r="R26" s="216">
        <f t="shared" si="9"/>
        <v>7.6404357978780923E-2</v>
      </c>
      <c r="S26" s="216">
        <f t="shared" si="10"/>
        <v>7.2463896710942652E-2</v>
      </c>
      <c r="T26" s="178">
        <f t="shared" si="11"/>
        <v>5.4378268995893361E-2</v>
      </c>
    </row>
    <row r="27" spans="1:20" x14ac:dyDescent="0.25">
      <c r="A27" s="155" t="s">
        <v>66</v>
      </c>
      <c r="B27" s="277">
        <f>IF($B$2="Q1",'Q1'!D40,IF(Data!$B$2="Q2",'Q2'!D40,IF(Data!$B$2="Q3",'Q3'!D40,'Q4'!D40)))</f>
        <v>15707</v>
      </c>
      <c r="C27" s="277">
        <f>IF($B$2="Q1",'Previous Quarter'!D40,IF(Data!$B$2="Q2",'Q1'!D40,IF(Data!$B$2="Q3",#REF!,'Q3'!D40)))</f>
        <v>7374</v>
      </c>
      <c r="D27" s="176">
        <f t="shared" si="5"/>
        <v>1.1300515324111744</v>
      </c>
      <c r="E27" s="155" t="s">
        <v>68</v>
      </c>
      <c r="F27" s="277">
        <f>IF($B$2="Q1",'Q1'!H29,IF(Data!$B$2="Q2",'Q2'!H29,IF(Data!$B$2="Q3",'Q3'!H29,'Q4'!H29)))</f>
        <v>107300</v>
      </c>
      <c r="G27" s="277">
        <f>IF($B$2="Q1",'Previous Quarter'!H29,IF(Data!$B$2="Q2",'Q1'!H29,IF(Data!$B$2="Q3",#REF!,'Q3'!H29)))</f>
        <v>91278</v>
      </c>
      <c r="H27" s="176">
        <f t="shared" si="6"/>
        <v>0.17552970047547053</v>
      </c>
      <c r="I27" s="155" t="s">
        <v>67</v>
      </c>
      <c r="J27" s="277">
        <f>IF($B$2="Q1",'Q1'!E23,IF(Data!$B$2="Q2",'Q2'!E23,IF(Data!$B$2="Q3",'Q3'!E23,'Q4'!E23)))</f>
        <v>19586</v>
      </c>
      <c r="K27" s="277">
        <f>IF($B$2="Q1",'Previous Quarter'!E23,IF(Data!$B$2="Q2",'Q1'!E23,IF(Data!$B$2="Q3",#REF!,'Q3'!E23)))</f>
        <v>24654</v>
      </c>
      <c r="L27" s="176">
        <f t="shared" si="7"/>
        <v>-0.20556501987507098</v>
      </c>
      <c r="M27" s="155"/>
      <c r="N27" s="156" t="s">
        <v>66</v>
      </c>
      <c r="O27" s="273">
        <f>IF($B$2="Q1",'Q1'!D49,IF(Data!$B$2="Q2",'Q2'!D49,IF(Data!$B$2="Q3",'Q3'!D49,'Q4'!D49)))</f>
        <v>492402</v>
      </c>
      <c r="P27" s="273">
        <f>'Previous Quarter'!D49</f>
        <v>448156</v>
      </c>
      <c r="Q27" s="178">
        <f t="shared" si="8"/>
        <v>9.8729014004052165E-2</v>
      </c>
      <c r="R27" s="216">
        <f t="shared" si="9"/>
        <v>3.9587452822262788E-2</v>
      </c>
      <c r="S27" s="216">
        <f t="shared" si="10"/>
        <v>3.7514272225328722E-2</v>
      </c>
      <c r="T27" s="178">
        <f t="shared" si="11"/>
        <v>5.526378292724294E-2</v>
      </c>
    </row>
    <row r="28" spans="1:20" x14ac:dyDescent="0.25">
      <c r="A28" s="155" t="s">
        <v>69</v>
      </c>
      <c r="B28" s="277">
        <f>IF($B$2="Q1",'Q1'!I40,IF(Data!$B$2="Q2",'Q2'!I40,IF(Data!$B$2="Q3",'Q3'!I40,'Q4'!I40)))</f>
        <v>0</v>
      </c>
      <c r="C28" s="277">
        <f>IF($B$2="Q1",'Previous Quarter'!I40,IF(Data!$B$2="Q2",'Q1'!I40,IF(Data!$B$2="Q3",#REF!,'Q3'!I40)))</f>
        <v>0</v>
      </c>
      <c r="D28" s="176" t="e">
        <f t="shared" si="5"/>
        <v>#DIV/0!</v>
      </c>
      <c r="E28" s="155" t="s">
        <v>69</v>
      </c>
      <c r="F28" s="277">
        <f>IF($B$2="Q1",'Q1'!I29,IF(Data!$B$2="Q2",'Q2'!I29,IF(Data!$B$2="Q3",'Q3'!I29,'Q4'!I29)))</f>
        <v>0</v>
      </c>
      <c r="G28" s="277">
        <f>IF($B$2="Q1",'Previous Quarter'!I29,IF(Data!$B$2="Q2",'Q1'!I29,IF(Data!$B$2="Q3",#REF!,'Q3'!I29)))</f>
        <v>0</v>
      </c>
      <c r="H28" s="176" t="e">
        <f t="shared" si="6"/>
        <v>#DIV/0!</v>
      </c>
      <c r="I28" s="155" t="s">
        <v>70</v>
      </c>
      <c r="J28" s="277">
        <f>IF($B$2="Q1",'Q1'!K23,IF(Data!$B$2="Q2",'Q2'!K23,IF(Data!$B$2="Q3",'Q3'!K23,'Q4'!K23)))</f>
        <v>45210</v>
      </c>
      <c r="K28" s="277">
        <f>IF($B$2="Q1",'Previous Quarter'!K23,IF(Data!$B$2="Q2",'Q1'!K23,IF(Data!$B$2="Q3",#REF!,'Q3'!K23)))</f>
        <v>43933</v>
      </c>
      <c r="L28" s="176">
        <f t="shared" si="7"/>
        <v>2.9066988368652267E-2</v>
      </c>
      <c r="M28" s="155"/>
      <c r="N28" s="156" t="s">
        <v>69</v>
      </c>
      <c r="O28" s="273">
        <f>IF($B$2="Q1",'Q1'!I49,IF(Data!$B$2="Q2",'Q2'!I49,IF(Data!$B$2="Q3",'Q3'!I49,'Q4'!I49)))</f>
        <v>0</v>
      </c>
      <c r="P28" s="273">
        <f>'Previous Quarter'!I49</f>
        <v>0</v>
      </c>
      <c r="Q28" s="178" t="e">
        <f t="shared" si="8"/>
        <v>#DIV/0!</v>
      </c>
      <c r="R28" s="216">
        <f t="shared" si="9"/>
        <v>0</v>
      </c>
      <c r="S28" s="216">
        <f t="shared" si="10"/>
        <v>0</v>
      </c>
      <c r="T28" s="178" t="e">
        <f t="shared" si="11"/>
        <v>#DIV/0!</v>
      </c>
    </row>
    <row r="29" spans="1:20" x14ac:dyDescent="0.25">
      <c r="A29" s="155" t="s">
        <v>67</v>
      </c>
      <c r="B29" s="277">
        <f>IF($B$2="Q1",'Q1'!E40,IF(Data!$B$2="Q2",'Q2'!E40,IF(Data!$B$2="Q3",'Q3'!E40,'Q4'!E40)))</f>
        <v>-3819</v>
      </c>
      <c r="C29" s="277">
        <f>IF($B$2="Q1",'Previous Quarter'!E40,IF(Data!$B$2="Q2",'Q1'!E40,IF(Data!$B$2="Q3",#REF!,'Q3'!E40)))</f>
        <v>1918</v>
      </c>
      <c r="D29" s="176">
        <f t="shared" si="5"/>
        <v>-2.9911366006256519</v>
      </c>
      <c r="E29" s="155" t="s">
        <v>161</v>
      </c>
      <c r="F29" s="277">
        <f>IF($B$2="Q1",'Q1'!J29,IF(Data!$B$2="Q2",'Q2'!J29,IF(Data!$B$2="Q3",'Q3'!J29,'Q4'!J29)))</f>
        <v>215674</v>
      </c>
      <c r="G29" s="277">
        <f>IF($B$2="Q1",'Previous Quarter'!J29,IF(Data!$B$2="Q2",'Q1'!J29,IF(Data!$B$2="Q3",#REF!,'Q3'!J29)))</f>
        <v>199360</v>
      </c>
      <c r="H29" s="176">
        <f t="shared" si="6"/>
        <v>8.1831861958266458E-2</v>
      </c>
      <c r="I29" s="155" t="s">
        <v>69</v>
      </c>
      <c r="J29" s="277">
        <f>IF($B$2="Q1",'Q1'!I23,IF(Data!$B$2="Q2",'Q2'!I23,IF(Data!$B$2="Q3",'Q3'!I23,'Q4'!I23)))</f>
        <v>0</v>
      </c>
      <c r="K29" s="277">
        <f>IF($B$2="Q1",'Previous Quarter'!I23,IF(Data!$B$2="Q2",'Q1'!I23,IF(Data!$B$2="Q3",#REF!,'Q3'!I23)))</f>
        <v>0</v>
      </c>
      <c r="L29" s="176" t="e">
        <f t="shared" si="7"/>
        <v>#DIV/0!</v>
      </c>
      <c r="M29" s="155"/>
      <c r="N29" s="156" t="s">
        <v>82</v>
      </c>
      <c r="O29" s="273">
        <f>IF($B$2="Q1",'Q1'!G49,IF(Data!$B$2="Q2",'Q2'!G49,IF(Data!$B$2="Q3",'Q3'!G49,'Q4'!G49)))</f>
        <v>168718</v>
      </c>
      <c r="P29" s="273">
        <f>'Previous Quarter'!G49</f>
        <v>189780</v>
      </c>
      <c r="Q29" s="178">
        <f t="shared" si="8"/>
        <v>-0.11098113605227106</v>
      </c>
      <c r="R29" s="216">
        <f t="shared" si="9"/>
        <v>1.3564355679437803E-2</v>
      </c>
      <c r="S29" s="216">
        <f t="shared" si="10"/>
        <v>1.5886116849764112E-2</v>
      </c>
      <c r="T29" s="178">
        <f t="shared" si="11"/>
        <v>-0.14615032687240898</v>
      </c>
    </row>
    <row r="30" spans="1:20" x14ac:dyDescent="0.25">
      <c r="A30" s="155" t="s">
        <v>70</v>
      </c>
      <c r="B30" s="278">
        <f>IF($B$2="Q1",'Q1'!K40,IF(Data!$B$2="Q2",'Q2'!K40,IF(Data!$B$2="Q3",'Q3'!K40,'Q4'!K40)))</f>
        <v>11209</v>
      </c>
      <c r="C30" s="278">
        <f>IF($B$2="Q1",'Previous Quarter'!K40,IF(Data!$B$2="Q2",'Q1'!K40,IF(Data!$B$2="Q3",#REF!,'Q3'!K40)))</f>
        <v>10056</v>
      </c>
      <c r="D30" s="176">
        <f t="shared" si="5"/>
        <v>0.11465791567223547</v>
      </c>
      <c r="E30" s="155" t="s">
        <v>70</v>
      </c>
      <c r="F30" s="277">
        <f>IF($B$2="Q1",'Q1'!K29,IF(Data!$B$2="Q2",'Q2'!K29,IF(Data!$B$2="Q3",'Q3'!K29,'Q4'!K29)))</f>
        <v>64547</v>
      </c>
      <c r="G30" s="277">
        <f>IF($B$2="Q1",'Previous Quarter'!K29,IF(Data!$B$2="Q2",'Q1'!K29,IF(Data!$B$2="Q3",#REF!,'Q3'!K29)))</f>
        <v>60968</v>
      </c>
      <c r="H30" s="176">
        <f t="shared" si="6"/>
        <v>5.8702926125180424E-2</v>
      </c>
      <c r="I30" s="155" t="s">
        <v>83</v>
      </c>
      <c r="J30" s="277">
        <f>IF($B$2="Q1",'Q1'!F23,IF(Data!$B$2="Q2",'Q2'!F23,IF(Data!$B$2="Q3",'Q3'!F23,'Q4'!F23)))</f>
        <v>17167</v>
      </c>
      <c r="K30" s="277">
        <f>IF($B$2="Q1",'Previous Quarter'!F23,IF(Data!$B$2="Q2",'Q1'!F23,IF(Data!$B$2="Q3",#REF!,'Q3'!F23)))</f>
        <v>12759</v>
      </c>
      <c r="L30" s="176">
        <f t="shared" si="7"/>
        <v>0.34548162081667844</v>
      </c>
      <c r="M30" s="155"/>
      <c r="N30" s="156" t="s">
        <v>70</v>
      </c>
      <c r="O30" s="273">
        <f>IF($B$2="Q1",'Q1'!K49,IF(Data!$B$2="Q2",'Q2'!K49,IF(Data!$B$2="Q3",'Q3'!K49,'Q4'!K49)))</f>
        <v>440140</v>
      </c>
      <c r="P30" s="273">
        <f>'Previous Quarter'!K49</f>
        <v>417331</v>
      </c>
      <c r="Q30" s="178">
        <f t="shared" si="8"/>
        <v>5.4654458930680924E-2</v>
      </c>
      <c r="R30" s="216">
        <f t="shared" si="9"/>
        <v>3.538576505617512E-2</v>
      </c>
      <c r="S30" s="216">
        <f t="shared" si="10"/>
        <v>3.4933971077188881E-2</v>
      </c>
      <c r="T30" s="178">
        <f t="shared" si="11"/>
        <v>1.2932797648110776E-2</v>
      </c>
    </row>
    <row r="31" spans="1:20" x14ac:dyDescent="0.25">
      <c r="A31" s="155" t="s">
        <v>82</v>
      </c>
      <c r="B31" s="278">
        <f>IF($B$2="Q1",'Q1'!G40,IF(Data!$B$2="Q2",'Q2'!G40,IF(Data!$B$2="Q3",'Q3'!G40,'Q4'!G40)))</f>
        <v>-27633</v>
      </c>
      <c r="C31" s="278">
        <f>IF($B$2="Q1",'Previous Quarter'!G40,IF(Data!$B$2="Q2",'Q1'!G40,IF(Data!$B$2="Q3",#REF!,'Q3'!G40)))</f>
        <v>-20446</v>
      </c>
      <c r="D31" s="176">
        <f t="shared" si="5"/>
        <v>0.35151129805340897</v>
      </c>
      <c r="E31" s="155" t="s">
        <v>71</v>
      </c>
      <c r="F31" s="277">
        <f>IF($B$2="Q1",'Q1'!L29,IF(Data!$B$2="Q2",'Q2'!L29,IF(Data!$B$2="Q3",'Q3'!L29,'Q4'!L29)))</f>
        <v>142851</v>
      </c>
      <c r="G31" s="277">
        <f>IF($B$2="Q1",'Previous Quarter'!L29,IF(Data!$B$2="Q2",'Q1'!L29,IF(Data!$B$2="Q3",#REF!,'Q3'!L29)))</f>
        <v>134264</v>
      </c>
      <c r="H31" s="176">
        <f t="shared" si="6"/>
        <v>6.3956086516117505E-2</v>
      </c>
      <c r="I31" s="155" t="s">
        <v>82</v>
      </c>
      <c r="J31" s="277">
        <f>IF($B$2="Q1",'Q1'!G23,IF(Data!$B$2="Q2",'Q2'!G23,IF(Data!$B$2="Q3",'Q3'!G23,'Q4'!G23)))</f>
        <v>-17261</v>
      </c>
      <c r="K31" s="277">
        <f>IF($B$2="Q1",'Previous Quarter'!G23,IF(Data!$B$2="Q2",'Q1'!G23,IF(Data!$B$2="Q3",#REF!,'Q3'!G23)))</f>
        <v>-9898</v>
      </c>
      <c r="L31" s="176">
        <f t="shared" si="7"/>
        <v>0.74388765407152957</v>
      </c>
      <c r="M31" s="155"/>
      <c r="N31" s="156" t="s">
        <v>67</v>
      </c>
      <c r="O31" s="273">
        <f>IF($B$2="Q1",'Q1'!E49,IF(Data!$B$2="Q2",'Q2'!E49,IF(Data!$B$2="Q3",'Q3'!E49,'Q4'!E49)))</f>
        <v>232439</v>
      </c>
      <c r="P31" s="273">
        <f>'Previous Quarter'!E49</f>
        <v>218151</v>
      </c>
      <c r="Q31" s="178">
        <f t="shared" si="8"/>
        <v>6.5495917965079239E-2</v>
      </c>
      <c r="R31" s="216">
        <f t="shared" si="9"/>
        <v>1.868730822895508E-2</v>
      </c>
      <c r="S31" s="216">
        <f t="shared" si="10"/>
        <v>1.8260998402850091E-2</v>
      </c>
      <c r="T31" s="178">
        <f t="shared" si="11"/>
        <v>2.3345373385414307E-2</v>
      </c>
    </row>
    <row r="32" spans="1:20" x14ac:dyDescent="0.25">
      <c r="A32" s="155"/>
      <c r="B32" s="278">
        <f>SUM(B22:B31)</f>
        <v>276626</v>
      </c>
      <c r="C32" s="155">
        <f>SUM(C22:C31)</f>
        <v>238116</v>
      </c>
      <c r="D32" s="176">
        <f t="shared" ref="D32:D33" si="12">(B32-C32)/C32</f>
        <v>0.16172789732735304</v>
      </c>
      <c r="E32" s="155"/>
      <c r="F32" s="279">
        <f>SUM(F22:F31)</f>
        <v>908731</v>
      </c>
      <c r="G32" s="155">
        <f>SUM(G22:G31)</f>
        <v>846664</v>
      </c>
      <c r="H32" s="176"/>
      <c r="I32" s="155"/>
      <c r="J32" s="279">
        <f>SUM(J22:J31)</f>
        <v>662109</v>
      </c>
      <c r="K32" s="279">
        <f>SUM(K22:K31)</f>
        <v>629256</v>
      </c>
      <c r="L32" s="176">
        <f t="shared" ref="L32:L33" si="13">(J32-K32)/K32</f>
        <v>5.2209275716083754E-2</v>
      </c>
      <c r="M32" s="155"/>
      <c r="N32" s="156"/>
      <c r="O32" s="156">
        <f>SUM(O22:O31)</f>
        <v>12438335</v>
      </c>
      <c r="P32" s="156">
        <f>SUM(P22:P31)</f>
        <v>11946280</v>
      </c>
      <c r="Q32" s="178">
        <f t="shared" ref="Q32:Q33" si="14">(O32-P32)/P32</f>
        <v>4.1188972634158917E-2</v>
      </c>
      <c r="R32" s="216">
        <f>SUM(R22:R31)</f>
        <v>0.99999999999999989</v>
      </c>
      <c r="S32" s="216">
        <f t="shared" ref="S32" si="15">SUM(S22:S31)</f>
        <v>1</v>
      </c>
      <c r="T32" s="178">
        <f t="shared" ref="T32" si="16">(R32-S32)/S32</f>
        <v>-1.1102230246251565E-16</v>
      </c>
    </row>
    <row r="33" spans="1:20" x14ac:dyDescent="0.25">
      <c r="A33" s="155"/>
      <c r="B33" s="155">
        <f>'Q2'!M40</f>
        <v>276626</v>
      </c>
      <c r="C33" s="155">
        <f>'Previous Quarter'!M40</f>
        <v>238116</v>
      </c>
      <c r="D33" s="176">
        <f t="shared" si="12"/>
        <v>0.16172789732735304</v>
      </c>
      <c r="E33" s="155"/>
      <c r="F33" s="155">
        <f>'Q2'!M29</f>
        <v>908731</v>
      </c>
      <c r="G33" s="155">
        <f>'Previous Quarter'!M29</f>
        <v>846664</v>
      </c>
      <c r="H33" s="176"/>
      <c r="I33" s="278"/>
      <c r="J33" s="278">
        <f>'Q2'!M23</f>
        <v>662109</v>
      </c>
      <c r="K33" s="278">
        <f>'Previous Quarter'!M23</f>
        <v>629256</v>
      </c>
      <c r="L33" s="176">
        <f t="shared" si="13"/>
        <v>5.2209275716083754E-2</v>
      </c>
      <c r="M33" s="155"/>
      <c r="N33" s="156"/>
      <c r="O33" s="156">
        <f>'Q2'!M49</f>
        <v>12438335</v>
      </c>
      <c r="P33" s="156">
        <f>'Previous Quarter'!M49</f>
        <v>11946280</v>
      </c>
      <c r="Q33" s="178">
        <f t="shared" si="14"/>
        <v>4.1188972634158917E-2</v>
      </c>
      <c r="R33" s="216"/>
      <c r="S33" s="216"/>
      <c r="T33" s="178"/>
    </row>
    <row r="34" spans="1:20" x14ac:dyDescent="0.25">
      <c r="A34" s="155"/>
      <c r="B34" s="155">
        <f>B32-B33</f>
        <v>0</v>
      </c>
      <c r="C34" s="155">
        <f>C32-C33</f>
        <v>0</v>
      </c>
      <c r="D34" s="176"/>
      <c r="E34" s="155"/>
      <c r="F34" s="155">
        <f>F32-F33</f>
        <v>0</v>
      </c>
      <c r="G34" s="155">
        <f>G32-G33</f>
        <v>0</v>
      </c>
      <c r="H34" s="176"/>
      <c r="I34" s="278"/>
      <c r="J34" s="278">
        <f>J32-J33</f>
        <v>0</v>
      </c>
      <c r="K34" s="279">
        <f>K32-K33</f>
        <v>0</v>
      </c>
      <c r="L34" s="176"/>
      <c r="M34" s="155"/>
      <c r="N34" s="156"/>
      <c r="O34" s="156">
        <f>O32-O33</f>
        <v>0</v>
      </c>
      <c r="P34" s="156">
        <f>P32-P33</f>
        <v>0</v>
      </c>
      <c r="Q34" s="178"/>
      <c r="R34" s="216"/>
      <c r="S34" s="216"/>
      <c r="T34" s="178"/>
    </row>
    <row r="35" spans="1:20" x14ac:dyDescent="0.25">
      <c r="A35" s="155"/>
      <c r="B35" s="155"/>
      <c r="C35" s="155"/>
      <c r="D35" s="176"/>
      <c r="E35" s="155"/>
      <c r="F35" s="155"/>
      <c r="G35" s="155"/>
      <c r="H35" s="176"/>
      <c r="I35" s="155"/>
      <c r="J35" s="155"/>
      <c r="K35" s="155"/>
      <c r="L35" s="176"/>
      <c r="M35" s="155"/>
      <c r="N35" s="156"/>
      <c r="O35" s="156"/>
      <c r="P35" s="156"/>
      <c r="Q35" s="178"/>
      <c r="R35" s="216"/>
      <c r="S35" s="216"/>
      <c r="T35" s="178"/>
    </row>
    <row r="36" spans="1:20" x14ac:dyDescent="0.25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O36">
        <f>SUM(O22:O31)</f>
        <v>12438335</v>
      </c>
      <c r="P36">
        <f>SUM(P22:P31)</f>
        <v>11946280</v>
      </c>
    </row>
    <row r="37" spans="1:20" x14ac:dyDescent="0.25">
      <c r="A37" s="155"/>
      <c r="B37" s="155" t="str">
        <f>"Interest Inc. "&amp;$B$1&amp;" "&amp;$B$2</f>
        <v>Interest Inc. 2026 Q2</v>
      </c>
      <c r="C37" s="155" t="str">
        <f>"Interest Exp. "&amp;$B$1&amp;" "&amp;$B$2</f>
        <v>Interest Exp. 2026 Q2</v>
      </c>
      <c r="D37" s="155"/>
      <c r="E37" s="155"/>
      <c r="F37" s="155" t="str">
        <f>"Total Income "&amp;$B$1&amp;" "&amp;$B$2</f>
        <v>Total Income 2026 Q2</v>
      </c>
      <c r="G37" s="155" t="str">
        <f>"Net Int. Inc. "&amp;$B$1&amp;" "&amp;$B$2</f>
        <v>Net Int. Inc. 2026 Q2</v>
      </c>
      <c r="H37" s="155"/>
      <c r="I37" s="155"/>
      <c r="J37" s="155" t="str">
        <f>"Total Income "&amp;$B$1&amp;" "&amp;$B$2</f>
        <v>Total Income 2026 Q2</v>
      </c>
      <c r="K37" s="155" t="str">
        <f>"Non Int. Exp. "&amp;$B$1&amp;" "&amp;$B$2</f>
        <v>Non Int. Exp. 2026 Q2</v>
      </c>
      <c r="L37" s="155" t="str">
        <f>"PAT "&amp;$B$1&amp;" "&amp;$B$2</f>
        <v>PAT 2026 Q2</v>
      </c>
      <c r="M37" s="155"/>
      <c r="O37" t="e">
        <f>O36-#REF!</f>
        <v>#REF!</v>
      </c>
      <c r="P37">
        <f>P36-'Previous Quarter'!M49</f>
        <v>0</v>
      </c>
    </row>
    <row r="38" spans="1:20" x14ac:dyDescent="0.25">
      <c r="A38" s="155" t="s">
        <v>65</v>
      </c>
      <c r="B38" s="277">
        <f>IF($B$2="Q1",'Q1'!C13,IF(Data!$B$2="Q2",'Q2'!C13,IF(Data!$B$2="Q3",'Q3'!C13,'Q4'!C13)))</f>
        <v>320202</v>
      </c>
      <c r="C38" s="277">
        <f>IF($B$2="Q1",ABS('Q1'!C17),IF(Data!$B$2="Q2",ABS('Q2'!C17),IF(Data!$B$2="Q3",ABS('Q3'!C17),ABS('Q4'!C17))))</f>
        <v>119456</v>
      </c>
      <c r="D38" s="155"/>
      <c r="E38" s="155" t="s">
        <v>65</v>
      </c>
      <c r="F38" s="277">
        <f>IF($B$2="Q1",'Q1'!C29,IF(Data!$B$2="Q2",'Q2'!C29,IF(Data!$B$2="Q3",'Q3'!C29,'Q4'!C29)))</f>
        <v>230524</v>
      </c>
      <c r="G38" s="277">
        <f>IF($B$2="Q1",'Q1'!C23,IF(Data!$B$2="Q2",'Q2'!C23,IF(Data!$B$2="Q3",'Q3'!C23,'Q4'!C23)))</f>
        <v>201262</v>
      </c>
      <c r="H38" s="155"/>
      <c r="I38" s="155" t="s">
        <v>65</v>
      </c>
      <c r="J38" s="155">
        <f>IF($B$2="Q1",'Q1'!C29,IF(Data!$B$2="Q2",'Q2'!C29,IF(Data!$B$2="Q3",'Q3'!C29,'Q4'!C29)))</f>
        <v>230524</v>
      </c>
      <c r="K38" s="155">
        <f>IF($B$2="Q1",ABS('Q1'!C34),IF(Data!$B$2="Q2",ABS('Q2'!C34),IF(Data!$B$2="Q3",ABS('Q3'!C34),ABS('Q4'!C34))))</f>
        <v>89736</v>
      </c>
      <c r="L38" s="155">
        <f>IF($B$2="Q1",'Q1'!C40,IF(Data!$B$2="Q2",'Q2'!C40,IF(Data!$B$2="Q3",'Q3'!C40,'Q4'!C40)))</f>
        <v>98552</v>
      </c>
      <c r="M38" s="155"/>
    </row>
    <row r="39" spans="1:20" x14ac:dyDescent="0.25">
      <c r="A39" s="155" t="s">
        <v>161</v>
      </c>
      <c r="B39" s="277">
        <f>IF($B$2="Q1",'Q1'!J13,IF(Data!$B$2="Q2",'Q2'!J13,IF(Data!$B$2="Q3",'Q3'!J13,'Q4'!J13)))</f>
        <v>209192</v>
      </c>
      <c r="C39" s="277">
        <f>IF($B$2="Q1",ABS('Q1'!J17),IF(Data!$B$2="Q2",ABS('Q2'!J17),IF(Data!$B$2="Q3",ABS('Q3'!J17),ABS('Q4'!J17))))</f>
        <v>36286</v>
      </c>
      <c r="D39" s="155"/>
      <c r="E39" s="155" t="s">
        <v>161</v>
      </c>
      <c r="F39" s="277">
        <f>IF($B$2="Q1",'Q1'!J29,IF(Data!$B$2="Q2",'Q2'!J29,IF(Data!$B$2="Q3",'Q3'!J29,'Q4'!J29)))</f>
        <v>215674</v>
      </c>
      <c r="G39" s="277">
        <f>IF($B$2="Q1",'Q1'!J23,IF(Data!$B$2="Q2",'Q2'!J23,IF(Data!$B$2="Q3",'Q3'!J23,'Q4'!J23)))</f>
        <v>171690</v>
      </c>
      <c r="H39" s="155"/>
      <c r="I39" s="155" t="s">
        <v>71</v>
      </c>
      <c r="J39" s="155">
        <f>IF($B$2="Q1",'Q1'!L29,IF(Data!$B$2="Q2",'Q2'!L29,IF(Data!$B$2="Q3",'Q3'!L29,'Q4'!L29)))</f>
        <v>142851</v>
      </c>
      <c r="K39" s="155">
        <f>IF($B$2="Q1",ABS('Q1'!L34),IF(Data!$B$2="Q2",ABS('Q2'!L34),IF(Data!$B$2="Q3",ABS('Q3'!L34),ABS('Q4'!L34))))</f>
        <v>110266</v>
      </c>
      <c r="L39" s="155">
        <f>IF($B$2="Q1",'Q1'!L40,IF(Data!$B$2="Q2",'Q2'!L40,IF(Data!$B$2="Q3",'Q3'!L40,'Q4'!L40)))</f>
        <v>32585</v>
      </c>
      <c r="M39" s="155"/>
    </row>
    <row r="40" spans="1:20" x14ac:dyDescent="0.25">
      <c r="A40" s="155" t="s">
        <v>71</v>
      </c>
      <c r="B40" s="277">
        <f>IF($B$2="Q1",'Q1'!L13,IF(Data!$B$2="Q2",'Q2'!L13,IF(Data!$B$2="Q3",'Q3'!L13,'Q4'!L13)))</f>
        <v>206082</v>
      </c>
      <c r="C40" s="277">
        <f>IF($B$2="Q1",ABS('Q1'!L17),IF(Data!$B$2="Q2",ABS('Q2'!L17),IF(Data!$B$2="Q3",ABS('Q3'!L17),ABS('Q4'!L17))))</f>
        <v>87027</v>
      </c>
      <c r="D40" s="155"/>
      <c r="E40" s="155" t="s">
        <v>71</v>
      </c>
      <c r="F40" s="277">
        <f>IF($B$2="Q1",'Q1'!L29,IF(Data!$B$2="Q2",'Q2'!L29,IF(Data!$B$2="Q3",'Q3'!L29,'Q4'!L29)))</f>
        <v>142851</v>
      </c>
      <c r="G40" s="277">
        <f>IF($B$2="Q1",'Q1'!L23,IF(Data!$B$2="Q2",'Q2'!L23,IF(Data!$B$2="Q3",'Q3'!L23,'Q4'!L23)))</f>
        <v>117881</v>
      </c>
      <c r="H40" s="155"/>
      <c r="I40" s="155" t="s">
        <v>68</v>
      </c>
      <c r="J40" s="155">
        <f>IF($B$2="Q1",'Q1'!H29,IF(Data!$B$2="Q2",'Q2'!H29,IF(Data!$B$2="Q3",'Q3'!H29,'Q4'!H29)))</f>
        <v>107300</v>
      </c>
      <c r="K40" s="155">
        <f>IF($B$2="Q1",ABS('Q1'!H34),IF(Data!$B$2="Q2",ABS('Q2'!H34),IF(Data!$B$2="Q3",ABS('Q3'!H34),ABS('Q4'!H34))))</f>
        <v>52854</v>
      </c>
      <c r="L40" s="155">
        <f>IF($B$2="Q1",'Q1'!H40,IF(Data!$B$2="Q2",'Q2'!H40,IF(Data!$B$2="Q3",'Q3'!H40,'Q4'!H40)))</f>
        <v>38112</v>
      </c>
      <c r="M40" s="155"/>
    </row>
    <row r="41" spans="1:20" x14ac:dyDescent="0.25">
      <c r="A41" s="155" t="s">
        <v>68</v>
      </c>
      <c r="B41" s="277">
        <f>IF($B$2="Q1",'Q1'!H13,IF(Data!$B$2="Q2",'Q2'!H13,IF(Data!$B$2="Q3",'Q3'!H13,'Q4'!H13)))</f>
        <v>118570</v>
      </c>
      <c r="C41" s="277">
        <f>IF($B$2="Q1",ABS('Q1'!H17),IF(Data!$B$2="Q2",ABS('Q2'!H17),IF(Data!$B$2="Q3",ABS('Q3'!H17),ABS('Q4'!H17))))</f>
        <v>52720</v>
      </c>
      <c r="D41" s="155"/>
      <c r="E41" s="155" t="s">
        <v>68</v>
      </c>
      <c r="F41" s="277">
        <f>IF($B$2="Q1",'Q1'!H29,IF(Data!$B$2="Q2",'Q2'!H29,IF(Data!$B$2="Q3",'Q3'!H29,'Q4'!H29)))</f>
        <v>107300</v>
      </c>
      <c r="G41" s="277">
        <f>IF($B$2="Q1",'Q1'!H23,IF(Data!$B$2="Q2",'Q2'!H23,IF(Data!$B$2="Q3",'Q3'!H23,'Q4'!H23)))</f>
        <v>60860</v>
      </c>
      <c r="H41" s="155"/>
      <c r="I41" s="155" t="s">
        <v>161</v>
      </c>
      <c r="J41" s="155">
        <f>IF($B$2="Q1",'Q1'!J29,IF(Data!$B$2="Q2",'Q2'!J29,IF(Data!$B$2="Q3",'Q3'!J29,'Q4'!J29)))</f>
        <v>215674</v>
      </c>
      <c r="K41" s="155">
        <f>IF($B$2="Q1",ABS('Q1'!J34),IF(Data!$B$2="Q2",ABS('Q2'!J34),IF(Data!$B$2="Q3",ABS('Q3'!J34),ABS('Q4'!J34))))</f>
        <v>131043</v>
      </c>
      <c r="L41" s="155">
        <f>IF($B$2="Q1",'Q1'!J40,IF(Data!$B$2="Q2",'Q2'!J40,IF(Data!$B$2="Q3",'Q3'!J40,'Q4'!J40)))</f>
        <v>84631</v>
      </c>
      <c r="M41" s="155"/>
    </row>
    <row r="42" spans="1:20" x14ac:dyDescent="0.25">
      <c r="A42" s="155" t="s">
        <v>66</v>
      </c>
      <c r="B42" s="277">
        <f>IF($B$2="Q1",'Q1'!D13,IF(Data!$B$2="Q2",'Q2'!D13,IF(Data!$B$2="Q3",'Q3'!D13,'Q4'!D13)))</f>
        <v>72597</v>
      </c>
      <c r="C42" s="277">
        <f>IF($B$2="Q1",ABS('Q1'!D17),IF(Data!$B$2="Q2",ABS('Q2'!D17),IF(Data!$B$2="Q3",ABS('Q3'!D17),ABS('Q4'!D17))))</f>
        <v>24739</v>
      </c>
      <c r="D42" s="155"/>
      <c r="E42" s="155" t="s">
        <v>66</v>
      </c>
      <c r="F42" s="277">
        <f>IF($B$2="Q1",'Q1'!D29,IF(Data!$B$2="Q2",'Q2'!D29,IF(Data!$B$2="Q3",'Q3'!D29,'Q4'!D29)))</f>
        <v>59262</v>
      </c>
      <c r="G42" s="277">
        <f>IF($B$2="Q1",'Q1'!D23,IF(Data!$B$2="Q2",'Q2'!D23,IF(Data!$B$2="Q3",'Q3'!D23,'Q4'!D23)))</f>
        <v>45714</v>
      </c>
      <c r="H42" s="155"/>
      <c r="I42" s="155" t="s">
        <v>83</v>
      </c>
      <c r="J42" s="155">
        <f>IF($B$2="Q1",'Q1'!F29,IF(Data!$B$2="Q2",'Q2'!F29,IF(Data!$B$2="Q3",'Q3'!F29,'Q4'!F29)))</f>
        <v>83824</v>
      </c>
      <c r="K42" s="155">
        <f>IF($B$2="Q1",ABS('Q1'!F34),IF(Data!$B$2="Q2",ABS('Q2'!F34),IF(Data!$B$2="Q3",ABS('Q3'!F34),ABS('Q4'!F34))))</f>
        <v>41442</v>
      </c>
      <c r="L42" s="155">
        <f>IF($B$2="Q1",'Q1'!F40,IF(Data!$B$2="Q2",'Q2'!F40,IF(Data!$B$2="Q3",'Q3'!F40,'Q4'!F40)))</f>
        <v>27282</v>
      </c>
      <c r="M42" s="155"/>
    </row>
    <row r="43" spans="1:20" x14ac:dyDescent="0.25">
      <c r="A43" s="155" t="s">
        <v>69</v>
      </c>
      <c r="B43" s="277">
        <f>IF($B$2="Q1",'Q1'!I13,IF(Data!$B$2="Q2",'Q2'!I13,IF(Data!$B$2="Q3",'Q3'!I13,'Q4'!I13)))</f>
        <v>0</v>
      </c>
      <c r="C43" s="277">
        <f>IF($B$2="Q1",ABS('Q1'!I17),IF(Data!$B$2="Q2",ABS('Q2'!I17),IF(Data!$B$2="Q3",ABS('Q3'!I17),ABS('Q4'!I17))))</f>
        <v>0</v>
      </c>
      <c r="D43" s="155"/>
      <c r="E43" s="155" t="s">
        <v>83</v>
      </c>
      <c r="F43" s="277">
        <f>IF($B$2="Q1",'Q1'!F29,IF(Data!$B$2="Q2",'Q2'!F29,IF(Data!$B$2="Q3",'Q3'!F29,'Q4'!F29)))</f>
        <v>83824</v>
      </c>
      <c r="G43" s="277">
        <f>IF($B$2="Q1",'Q1'!F23,IF(Data!$B$2="Q2",'Q2'!F23,IF(Data!$B$2="Q3",'Q3'!F23,'Q4'!F23)))</f>
        <v>17167</v>
      </c>
      <c r="H43" s="155"/>
      <c r="I43" s="155" t="s">
        <v>66</v>
      </c>
      <c r="J43" s="155">
        <f>IF($B$2="Q1",'Q1'!D29,IF(Data!$B$2="Q2",'Q2'!D29,IF(Data!$B$2="Q3",'Q3'!D29,'Q4'!D29)))</f>
        <v>59262</v>
      </c>
      <c r="K43" s="155">
        <f>IF($B$2="Q1",ABS('Q1'!D34),IF(Data!$B$2="Q2",ABS('Q2'!D34),IF(Data!$B$2="Q3",ABS('Q3'!D34),ABS('Q4'!D34))))</f>
        <v>36824</v>
      </c>
      <c r="L43" s="155">
        <f>IF($B$2="Q1",'Q1'!D40,IF(Data!$B$2="Q2",'Q2'!D40,IF(Data!$B$2="Q3",'Q3'!D40,'Q4'!D40)))</f>
        <v>15707</v>
      </c>
      <c r="M43" s="155"/>
    </row>
    <row r="44" spans="1:20" x14ac:dyDescent="0.25">
      <c r="A44" s="155" t="s">
        <v>67</v>
      </c>
      <c r="B44" s="277">
        <f>IF($B$2="Q1",'Q1'!E13,IF(Data!$B$2="Q2",'Q2'!E13,IF(Data!$B$2="Q3",'Q3'!E13,'Q4'!E13)))</f>
        <v>36935</v>
      </c>
      <c r="C44" s="277">
        <f>IF($B$2="Q1",ABS('Q1'!E17),IF(Data!$B$2="Q2",ABS('Q2'!E17),IF(Data!$B$2="Q3",ABS('Q3'!E17),ABS('Q4'!E17))))</f>
        <v>12136</v>
      </c>
      <c r="D44" s="155"/>
      <c r="E44" s="155" t="s">
        <v>70</v>
      </c>
      <c r="F44" s="277">
        <f>IF($B$2="Q1",'Q1'!K29,IF(Data!$B$2="Q2",'Q2'!K29,IF(Data!$B$2="Q3",'Q3'!K29,'Q4'!K29)))</f>
        <v>64547</v>
      </c>
      <c r="G44" s="277">
        <f>IF($B$2="Q1",'Q1'!K23,IF(Data!$B$2="Q2",'Q2'!K23,IF(Data!$B$2="Q3",'Q3'!K23,'Q4'!K23)))</f>
        <v>45210</v>
      </c>
      <c r="H44" s="155"/>
      <c r="I44" s="155" t="s">
        <v>69</v>
      </c>
      <c r="J44" s="155">
        <f>IF($B$2="Q1",'Q1'!I29,IF(Data!$B$2="Q2",'Q2'!I29,IF(Data!$B$2="Q3",'Q3'!I29,'Q4'!I29)))</f>
        <v>0</v>
      </c>
      <c r="K44" s="155">
        <f>IF($B$2="Q1",ABS('Q1'!I34),IF(Data!$B$2="Q2",ABS('Q2'!I34),IF(Data!$B$2="Q3",ABS('Q3'!I34),ABS('Q4'!I34))))</f>
        <v>0</v>
      </c>
      <c r="L44" s="155">
        <f>IF($B$2="Q1",'Q1'!I40,IF(Data!$B$2="Q2",'Q2'!I40,IF(Data!$B$2="Q3",'Q3'!I40,'Q4'!I40)))</f>
        <v>0</v>
      </c>
      <c r="M44" s="155"/>
    </row>
    <row r="45" spans="1:20" x14ac:dyDescent="0.25">
      <c r="A45" s="155" t="s">
        <v>83</v>
      </c>
      <c r="B45" s="277">
        <f>IF($B$2="Q1",'Q1'!F13,IF(Data!$B$2="Q2",'Q2'!F13,IF(Data!$B$2="Q3",'Q3'!F13,'Q4'!F13)))</f>
        <v>64330</v>
      </c>
      <c r="C45" s="277">
        <f>IF($B$2="Q1",ABS('Q1'!F17),IF(Data!$B$2="Q2",ABS('Q2'!F17),IF(Data!$B$2="Q3",ABS('Q3'!F17),ABS('Q4'!F17))))</f>
        <v>42259</v>
      </c>
      <c r="D45" s="155"/>
      <c r="E45" s="155" t="s">
        <v>69</v>
      </c>
      <c r="F45" s="277">
        <f>IF($B$2="Q1",'Q1'!I29,IF(Data!$B$2="Q2",'Q2'!I29,IF(Data!$B$2="Q3",'Q3'!I29,'Q4'!I29)))</f>
        <v>0</v>
      </c>
      <c r="G45" s="277">
        <f>IF($B$2="Q1",'Q1'!I23,IF(Data!$B$2="Q2",'Q2'!I23,IF(Data!$B$2="Q3",'Q3'!I23,'Q4'!I23)))</f>
        <v>0</v>
      </c>
      <c r="H45" s="155"/>
      <c r="I45" s="155" t="s">
        <v>67</v>
      </c>
      <c r="J45" s="155">
        <f>IF($B$2="Q1",'Q1'!E29,IF(Data!$B$2="Q2",'Q2'!E29,IF(Data!$B$2="Q3",'Q3'!E29,'Q4'!E29)))</f>
        <v>19230</v>
      </c>
      <c r="K45" s="155">
        <f>IF($B$2="Q1",ABS('Q1'!E34),IF(Data!$B$2="Q2",ABS('Q2'!E34),IF(Data!$B$2="Q3",ABS('Q3'!E34),ABS('Q4'!E34))))</f>
        <v>23049</v>
      </c>
      <c r="L45" s="155">
        <f>IF($B$2="Q1",'Q1'!E40,IF(Data!$B$2="Q2",'Q2'!E40,IF(Data!$B$2="Q3",'Q3'!E40,'Q4'!E40)))</f>
        <v>-3819</v>
      </c>
      <c r="M45" s="155"/>
    </row>
    <row r="46" spans="1:20" x14ac:dyDescent="0.25">
      <c r="A46" s="155" t="s">
        <v>70</v>
      </c>
      <c r="B46" s="277">
        <f>IF($B$2="Q1",'Q1'!K13,IF(Data!$B$2="Q2",'Q2'!K13,IF(Data!$B$2="Q3",'Q3'!K13,'Q4'!K13)))</f>
        <v>66033</v>
      </c>
      <c r="C46" s="277">
        <f>IF($B$2="Q1",ABS('Q1'!K17),IF(Data!$B$2="Q2",ABS('Q2'!K17),IF(Data!$B$2="Q3",ABS('Q3'!K17),ABS('Q4'!K17))))</f>
        <v>17769</v>
      </c>
      <c r="D46" s="155"/>
      <c r="E46" s="155" t="s">
        <v>67</v>
      </c>
      <c r="F46" s="277">
        <f>IF($B$2="Q1",'Q1'!E29,IF(Data!$B$2="Q2",'Q2'!E29,IF(Data!$B$2="Q3",'Q3'!E29,'Q4'!E29)))</f>
        <v>19230</v>
      </c>
      <c r="G46" s="277">
        <f>IF($B$2="Q1",'Q1'!E23,IF(Data!$B$2="Q2",'Q2'!E23,IF(Data!$B$2="Q3",'Q3'!E23,'Q4'!E23)))</f>
        <v>19586</v>
      </c>
      <c r="H46" s="155"/>
      <c r="I46" s="155" t="s">
        <v>70</v>
      </c>
      <c r="J46" s="155">
        <f>IF($B$2="Q1",'Q1'!K29,IF(Data!$B$2="Q2",'Q2'!K29,IF(Data!$B$2="Q3",'Q3'!K29,'Q4'!K29)))</f>
        <v>64547</v>
      </c>
      <c r="K46" s="155">
        <f>IF($B$2="Q1",ABS('Q1'!K34),IF(Data!$B$2="Q2",ABS('Q2'!K34),IF(Data!$B$2="Q3",ABS('Q3'!K34),ABS('Q4'!K34))))</f>
        <v>48838</v>
      </c>
      <c r="L46" s="278">
        <f>IF($B$2="Q1",'Q1'!K40,IF(Data!$B$2="Q2",'Q2'!K40,IF(Data!$B$2="Q3",'Q3'!K40,'Q4'!K40)))</f>
        <v>11209</v>
      </c>
      <c r="M46" s="155"/>
    </row>
    <row r="47" spans="1:20" x14ac:dyDescent="0.25">
      <c r="A47" s="155" t="s">
        <v>82</v>
      </c>
      <c r="B47" s="277">
        <f>IF($B$2="Q1",'Q1'!G13,IF(Data!$B$2="Q2",'Q2'!G13,IF(Data!$B$2="Q3",'Q3'!G13,'Q4'!G13)))</f>
        <v>17806</v>
      </c>
      <c r="C47" s="277">
        <f>IF($B$2="Q1",ABS('Q1'!G17),IF(Data!$B$2="Q2",ABS('Q2'!G17),IF(Data!$B$2="Q3",ABS('Q3'!G17),ABS('Q4'!G17))))</f>
        <v>10928</v>
      </c>
      <c r="D47" s="155"/>
      <c r="E47" s="155" t="s">
        <v>82</v>
      </c>
      <c r="F47" s="277">
        <f>IF($B$2="Q1",'Q1'!G29,IF(Data!$B$2="Q2",'Q2'!G29,IF(Data!$B$2="Q3",'Q3'!G29,'Q4'!G29)))</f>
        <v>-14481</v>
      </c>
      <c r="G47" s="277">
        <f>IF($B$2="Q1",'Q1'!G23,IF(Data!$B$2="Q2",'Q2'!G23,IF(Data!$B$2="Q3",'Q3'!G23,'Q4'!G23)))</f>
        <v>-17261</v>
      </c>
      <c r="H47" s="155"/>
      <c r="I47" s="155" t="s">
        <v>82</v>
      </c>
      <c r="J47" s="155">
        <f>IF($B$2="Q1",'Q1'!G29,IF(Data!$B$2="Q2",'Q2'!G29,IF(Data!$B$2="Q3",'Q3'!G29,'Q4'!G29)))</f>
        <v>-14481</v>
      </c>
      <c r="K47" s="155">
        <f>IF($B$2="Q1",ABS('Q1'!G34),IF(Data!$B$2="Q2",ABS('Q2'!G34),IF(Data!$B$2="Q3",ABS('Q3'!G34),ABS('Q4'!G34))))</f>
        <v>13152</v>
      </c>
      <c r="L47" s="278">
        <f>IF($B$2="Q1",'Q1'!G40,IF(Data!$B$2="Q2",'Q2'!G40,IF(Data!$B$2="Q3",'Q3'!G40,'Q4'!G40)))</f>
        <v>-27633</v>
      </c>
      <c r="M47" s="155"/>
    </row>
    <row r="48" spans="1:20" x14ac:dyDescent="0.25">
      <c r="A48" s="155"/>
      <c r="B48" s="155">
        <f>SUM(B38:B47)</f>
        <v>1111747</v>
      </c>
      <c r="C48" s="155">
        <f>SUM(C38:C47)</f>
        <v>403320</v>
      </c>
      <c r="D48" s="155"/>
      <c r="E48" s="155"/>
      <c r="F48" s="155">
        <f>SUM(F38:F47)</f>
        <v>908731</v>
      </c>
      <c r="G48" s="155">
        <f>SUM(G38:G47)</f>
        <v>662109</v>
      </c>
      <c r="H48" s="155"/>
      <c r="I48" s="155"/>
      <c r="J48" s="155">
        <f>SUM(J38:J47)</f>
        <v>908731</v>
      </c>
      <c r="K48" s="155">
        <f>SUM(K38:K47)</f>
        <v>547204</v>
      </c>
      <c r="L48" s="155">
        <f>SUM(L38:L47)</f>
        <v>276626</v>
      </c>
      <c r="M48" s="155"/>
    </row>
    <row r="49" spans="1:14" x14ac:dyDescent="0.25">
      <c r="A49" s="155"/>
      <c r="B49" s="155">
        <f>'Q2'!M13</f>
        <v>1111747</v>
      </c>
      <c r="C49" s="155">
        <f>-'Q2'!M17</f>
        <v>403320</v>
      </c>
      <c r="D49" s="155"/>
      <c r="E49" s="155"/>
      <c r="F49" s="155">
        <f>'Q2'!M29</f>
        <v>908731</v>
      </c>
      <c r="G49" s="155">
        <f>'Q2'!M23</f>
        <v>662109</v>
      </c>
      <c r="H49" s="155"/>
      <c r="I49" s="155"/>
      <c r="J49" s="155">
        <f>'Q2'!M29</f>
        <v>908731</v>
      </c>
      <c r="K49" s="155">
        <f>-'Q2'!M34</f>
        <v>547204</v>
      </c>
      <c r="L49" s="155">
        <f>'Q2'!M40</f>
        <v>276626</v>
      </c>
      <c r="M49" s="155"/>
    </row>
    <row r="50" spans="1:14" x14ac:dyDescent="0.25">
      <c r="A50" s="155"/>
      <c r="B50" s="155">
        <f>B48-B49</f>
        <v>0</v>
      </c>
      <c r="C50" s="155">
        <f>C48-C49</f>
        <v>0</v>
      </c>
      <c r="D50" s="155"/>
      <c r="E50" s="155"/>
      <c r="F50" s="155">
        <f>F48-F49</f>
        <v>0</v>
      </c>
      <c r="G50" s="155">
        <f>G48-G49</f>
        <v>0</v>
      </c>
      <c r="H50" s="155"/>
      <c r="I50" s="278"/>
      <c r="J50" s="155">
        <f>J48-J49</f>
        <v>0</v>
      </c>
      <c r="K50" s="155">
        <f>K48-K49</f>
        <v>0</v>
      </c>
      <c r="L50" s="155">
        <f>L48-L49</f>
        <v>0</v>
      </c>
      <c r="M50" s="155"/>
    </row>
    <row r="52" spans="1:14" s="165" customFormat="1" x14ac:dyDescent="0.25">
      <c r="A52" s="166" t="s">
        <v>116</v>
      </c>
      <c r="N52"/>
    </row>
    <row r="53" spans="1:14" x14ac:dyDescent="0.25">
      <c r="A53" s="165"/>
      <c r="B53" s="165" t="str">
        <f>"Diversity "&amp;$B$1&amp;" "&amp;$B$2</f>
        <v>Diversity 2026 Q2</v>
      </c>
      <c r="C53" s="165"/>
      <c r="D53" s="165"/>
      <c r="E53" s="165" t="str">
        <f>"CTI "&amp;$B$1&amp;" "&amp;$B$2</f>
        <v>CTI 2026 Q2</v>
      </c>
      <c r="F53" s="165"/>
      <c r="G53" s="165"/>
      <c r="H53" s="165" t="str">
        <f>"ROA "&amp;$B$1&amp;" "&amp;$B$2</f>
        <v>ROA 2026 Q2</v>
      </c>
      <c r="I53" s="165"/>
      <c r="J53" s="165"/>
      <c r="K53" s="165"/>
      <c r="L53" s="165"/>
      <c r="M53" s="165"/>
    </row>
    <row r="54" spans="1:14" x14ac:dyDescent="0.25">
      <c r="A54" s="165" t="s">
        <v>83</v>
      </c>
      <c r="B54" s="179">
        <f>YTD!F140</f>
        <v>0.76225443448407404</v>
      </c>
      <c r="C54" s="165"/>
      <c r="D54" s="165" t="s">
        <v>65</v>
      </c>
      <c r="E54" s="179">
        <f>YTD!C139</f>
        <v>0.39682408779875905</v>
      </c>
      <c r="F54" s="165"/>
      <c r="G54" s="165" t="s">
        <v>83</v>
      </c>
      <c r="H54" s="214">
        <f>YTD!F159</f>
        <v>7.7320460866535851E-2</v>
      </c>
      <c r="I54" s="165"/>
      <c r="J54" s="165"/>
      <c r="K54" s="165"/>
      <c r="L54" s="165"/>
      <c r="M54" s="165"/>
    </row>
    <row r="55" spans="1:14" x14ac:dyDescent="0.25">
      <c r="A55" s="165" t="s">
        <v>68</v>
      </c>
      <c r="B55" s="179">
        <f>YTD!H140</f>
        <v>0.41834249631779274</v>
      </c>
      <c r="C55" s="165"/>
      <c r="D55" s="165" t="s">
        <v>68</v>
      </c>
      <c r="E55" s="179">
        <f>YTD!H139</f>
        <v>0.48927420413282197</v>
      </c>
      <c r="F55" s="165"/>
      <c r="G55" s="165" t="s">
        <v>65</v>
      </c>
      <c r="H55" s="214">
        <f>YTD!C159</f>
        <v>8.3090524927564927E-2</v>
      </c>
      <c r="I55" s="165"/>
      <c r="J55" s="165"/>
      <c r="K55" s="165"/>
      <c r="L55" s="165"/>
      <c r="M55" s="165"/>
    </row>
    <row r="56" spans="1:14" x14ac:dyDescent="0.25">
      <c r="A56" s="165" t="s">
        <v>70</v>
      </c>
      <c r="B56" s="179">
        <f>YTD!K140</f>
        <v>0.27952444263416359</v>
      </c>
      <c r="C56" s="165"/>
      <c r="D56" s="165" t="s">
        <v>83</v>
      </c>
      <c r="E56" s="179">
        <f>YTD!F139</f>
        <v>0.47505602708373068</v>
      </c>
      <c r="F56" s="165"/>
      <c r="G56" s="165" t="s">
        <v>68</v>
      </c>
      <c r="H56" s="214">
        <f>YTD!H159</f>
        <v>7.9691659417469751E-2</v>
      </c>
      <c r="I56" s="165"/>
      <c r="J56" s="165"/>
      <c r="K56" s="165"/>
      <c r="L56" s="165"/>
      <c r="M56" s="165"/>
    </row>
    <row r="57" spans="1:14" x14ac:dyDescent="0.25">
      <c r="A57" s="165" t="s">
        <v>161</v>
      </c>
      <c r="B57" s="179">
        <f>YTD!J140</f>
        <v>0.19240884777987993</v>
      </c>
      <c r="C57" s="165"/>
      <c r="D57" s="165" t="s">
        <v>69</v>
      </c>
      <c r="E57" s="179" t="e">
        <f>YTD!I139</f>
        <v>#DIV/0!</v>
      </c>
      <c r="F57" s="165"/>
      <c r="G57" s="165" t="s">
        <v>69</v>
      </c>
      <c r="H57" s="214" t="e">
        <f>YTD!I159</f>
        <v>#DIV/0!</v>
      </c>
      <c r="I57" s="165"/>
      <c r="J57" s="165"/>
      <c r="K57" s="165"/>
      <c r="L57" s="165"/>
      <c r="M57" s="165"/>
    </row>
    <row r="58" spans="1:14" x14ac:dyDescent="0.25">
      <c r="A58" s="165" t="s">
        <v>66</v>
      </c>
      <c r="B58" s="179">
        <f>YTD!D140</f>
        <v>0.19320864354457962</v>
      </c>
      <c r="C58" s="165"/>
      <c r="D58" s="165" t="s">
        <v>71</v>
      </c>
      <c r="E58" s="179">
        <f>YTD!L139</f>
        <v>0.74618432743844765</v>
      </c>
      <c r="F58" s="165"/>
      <c r="G58" s="165" t="s">
        <v>71</v>
      </c>
      <c r="H58" s="214">
        <f>YTD!L159</f>
        <v>3.0080398194110018E-2</v>
      </c>
      <c r="I58" s="165"/>
      <c r="J58" s="165"/>
      <c r="K58" s="165"/>
      <c r="L58" s="165"/>
      <c r="M58" s="165"/>
    </row>
    <row r="59" spans="1:14" x14ac:dyDescent="0.25">
      <c r="A59" s="165" t="s">
        <v>71</v>
      </c>
      <c r="B59" s="179">
        <f>YTD!L140</f>
        <v>0.17096004471323339</v>
      </c>
      <c r="C59" s="165"/>
      <c r="D59" s="165" t="s">
        <v>66</v>
      </c>
      <c r="E59" s="179">
        <f>YTD!D139</f>
        <v>0.6506178283915709</v>
      </c>
      <c r="F59" s="165"/>
      <c r="G59" s="165" t="s">
        <v>66</v>
      </c>
      <c r="H59" s="214">
        <f>YTD!D159</f>
        <v>5.5487041163927296E-2</v>
      </c>
      <c r="I59" s="165"/>
      <c r="J59" s="165"/>
      <c r="K59" s="165"/>
      <c r="L59" s="165"/>
      <c r="M59" s="165"/>
    </row>
    <row r="60" spans="1:14" x14ac:dyDescent="0.25">
      <c r="A60" s="165" t="s">
        <v>69</v>
      </c>
      <c r="B60" s="179" t="e">
        <f>YTD!I140</f>
        <v>#DIV/0!</v>
      </c>
      <c r="C60" s="165"/>
      <c r="D60" s="165" t="s">
        <v>161</v>
      </c>
      <c r="E60" s="179">
        <f>YTD!J139</f>
        <v>0.63353654263891812</v>
      </c>
      <c r="F60" s="165"/>
      <c r="G60" s="165" t="s">
        <v>161</v>
      </c>
      <c r="H60" s="214">
        <f>YTD!J159</f>
        <v>7.4425041735276587E-2</v>
      </c>
      <c r="I60" s="165"/>
      <c r="J60" s="165"/>
      <c r="K60" s="165"/>
      <c r="L60" s="165"/>
      <c r="M60" s="165"/>
    </row>
    <row r="61" spans="1:14" x14ac:dyDescent="0.25">
      <c r="A61" s="165" t="s">
        <v>82</v>
      </c>
      <c r="B61" s="179">
        <f>YTD!G140</f>
        <v>0.26127730916330488</v>
      </c>
      <c r="C61" s="165"/>
      <c r="D61" s="165" t="s">
        <v>67</v>
      </c>
      <c r="E61" s="179">
        <f>YTD!E139</f>
        <v>0.86825732287819235</v>
      </c>
      <c r="F61" s="165"/>
      <c r="G61" s="165" t="s">
        <v>67</v>
      </c>
      <c r="H61" s="214">
        <f>YTD!E159</f>
        <v>-1.1139743422585082E-2</v>
      </c>
      <c r="I61" s="165"/>
      <c r="J61" s="165"/>
      <c r="K61" s="165"/>
      <c r="L61" s="165"/>
      <c r="M61" s="165"/>
    </row>
    <row r="62" spans="1:14" x14ac:dyDescent="0.25">
      <c r="A62" s="165" t="s">
        <v>67</v>
      </c>
      <c r="B62" s="179">
        <f>YTD!E140</f>
        <v>-2.6862075095301113E-2</v>
      </c>
      <c r="C62" s="165"/>
      <c r="D62" s="165" t="s">
        <v>70</v>
      </c>
      <c r="E62" s="179">
        <f>YTD!K139</f>
        <v>0.73662206715288081</v>
      </c>
      <c r="F62" s="165"/>
      <c r="G62" s="165" t="s">
        <v>70</v>
      </c>
      <c r="H62" s="214">
        <f>YTD!K159</f>
        <v>8.2541093451151223E-2</v>
      </c>
      <c r="I62" s="165"/>
      <c r="J62" s="165"/>
      <c r="K62" s="165"/>
      <c r="L62" s="165"/>
      <c r="M62" s="165"/>
    </row>
    <row r="63" spans="1:14" x14ac:dyDescent="0.25">
      <c r="A63" s="165" t="s">
        <v>65</v>
      </c>
      <c r="B63" s="179">
        <f>YTD!C140</f>
        <v>0.1251028145691771</v>
      </c>
      <c r="C63" s="165"/>
      <c r="D63" s="165" t="s">
        <v>82</v>
      </c>
      <c r="E63" s="179">
        <f>YTD!G139</f>
        <v>1.3573636506522764</v>
      </c>
      <c r="F63" s="165"/>
      <c r="G63" s="165" t="s">
        <v>82</v>
      </c>
      <c r="H63" s="214">
        <f>YTD!G159</f>
        <v>-0.36693886896130656</v>
      </c>
      <c r="I63" s="165"/>
      <c r="J63" s="165"/>
      <c r="K63" s="165"/>
      <c r="L63" s="165"/>
      <c r="M63" s="165"/>
    </row>
    <row r="65" spans="1:14" x14ac:dyDescent="0.25">
      <c r="A65" s="169" t="s">
        <v>119</v>
      </c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</row>
    <row r="66" spans="1:14" x14ac:dyDescent="0.25">
      <c r="A66" s="170"/>
      <c r="B66" s="170" t="s">
        <v>120</v>
      </c>
      <c r="C66" s="170"/>
      <c r="D66" s="170"/>
      <c r="E66" s="170" t="s">
        <v>81</v>
      </c>
      <c r="F66" s="170"/>
      <c r="G66" s="170"/>
      <c r="H66" s="170" t="s">
        <v>121</v>
      </c>
      <c r="I66" s="170" t="s">
        <v>130</v>
      </c>
      <c r="J66" s="170"/>
      <c r="K66" s="170"/>
      <c r="L66" s="170" t="s">
        <v>128</v>
      </c>
      <c r="M66" s="170" t="s">
        <v>129</v>
      </c>
      <c r="N66" s="170"/>
    </row>
    <row r="67" spans="1:14" x14ac:dyDescent="0.25">
      <c r="A67" s="170" t="s">
        <v>65</v>
      </c>
      <c r="B67" s="278">
        <f>-1*(IF($B$2="Q1",'Q1'!C22,IF(Data!$B$2="Q2",'Q2'!C22,IF(Data!$B$2="Q3",'Q3'!C22,'Q4'!C22))))</f>
        <v>-516</v>
      </c>
      <c r="C67" s="170"/>
      <c r="D67" s="170" t="s">
        <v>65</v>
      </c>
      <c r="E67" s="280">
        <f>IF($B$2="Q1",'Q1'!C51,IF(Data!$B$2="Q2",'Q2'!C51,IF(Data!$B$2="Q3",'Q3'!C51,'Q4'!C51)))</f>
        <v>3912125</v>
      </c>
      <c r="F67" s="170"/>
      <c r="G67" s="170" t="s">
        <v>65</v>
      </c>
      <c r="H67" s="280">
        <f>IF($B$2="Q1",'Q1'!C51,IF(Data!$B$2="Q2",'Q2'!C51,IF(Data!$B$2="Q3",'Q3'!C51,'Q4'!C51)))</f>
        <v>3912125</v>
      </c>
      <c r="I67" s="177">
        <f>YTD!C145</f>
        <v>4.3230749033200426E-3</v>
      </c>
      <c r="J67" s="170"/>
      <c r="K67" s="170" t="s">
        <v>65</v>
      </c>
      <c r="L67" s="280">
        <f>YTD!C49</f>
        <v>3912125</v>
      </c>
      <c r="M67" s="280">
        <f>-1*YTD!C50</f>
        <v>0</v>
      </c>
      <c r="N67" s="170"/>
    </row>
    <row r="68" spans="1:14" x14ac:dyDescent="0.25">
      <c r="A68" s="170" t="s">
        <v>69</v>
      </c>
      <c r="B68" s="278">
        <f>-1*(IF($B$2="Q1",'Q1'!I22,IF(Data!$B$2="Q2",'Q2'!I22,IF(Data!$B$2="Q3",'Q3'!I22,'Q4'!I22))))</f>
        <v>0</v>
      </c>
      <c r="C68" s="170"/>
      <c r="D68" s="170" t="s">
        <v>161</v>
      </c>
      <c r="E68" s="280">
        <f>IF($B$2="Q1",'Q1'!J51,IF(Data!$B$2="Q2",'Q2'!J51,IF(Data!$B$2="Q3",'Q3'!J51,'Q4'!J51)))</f>
        <v>2253761</v>
      </c>
      <c r="F68" s="170"/>
      <c r="G68" s="170" t="s">
        <v>161</v>
      </c>
      <c r="H68" s="280">
        <f>IF($B$2="Q1",'Q1'!J51,IF(Data!$B$2="Q2",'Q2'!J51,IF(Data!$B$2="Q3",'Q3'!J51,'Q4'!J51)))</f>
        <v>2253761</v>
      </c>
      <c r="I68" s="177">
        <f>YTD!J145</f>
        <v>1.1392184835937229E-2</v>
      </c>
      <c r="J68" s="170"/>
      <c r="K68" s="170" t="s">
        <v>161</v>
      </c>
      <c r="L68" s="280">
        <f>YTD!J49</f>
        <v>2253761</v>
      </c>
      <c r="M68" s="280">
        <f>-1*YTD!J50</f>
        <v>0</v>
      </c>
      <c r="N68" s="170"/>
    </row>
    <row r="69" spans="1:14" x14ac:dyDescent="0.25">
      <c r="A69" s="170" t="s">
        <v>82</v>
      </c>
      <c r="B69" s="278">
        <f>-1*(IF($B$2="Q1",'Q1'!G22,IF(Data!$B$2="Q2",'Q2'!G22,IF(Data!$B$2="Q3",'Q3'!G22,'Q4'!G22))))</f>
        <v>24139</v>
      </c>
      <c r="C69" s="170"/>
      <c r="D69" s="170" t="s">
        <v>71</v>
      </c>
      <c r="E69" s="280">
        <f>IF($B$2="Q1",'Q1'!L51,IF(Data!$B$2="Q2",'Q2'!L51,IF(Data!$B$2="Q3",'Q3'!L51,'Q4'!L51)))</f>
        <v>2728660</v>
      </c>
      <c r="F69" s="170"/>
      <c r="G69" s="170" t="s">
        <v>71</v>
      </c>
      <c r="H69" s="280">
        <f>IF($B$2="Q1",'Q1'!L51,IF(Data!$B$2="Q2",'Q2'!L51,IF(Data!$B$2="Q3",'Q3'!L51,'Q4'!L51)))</f>
        <v>2728660</v>
      </c>
      <c r="I69" s="177">
        <f>YTD!M145</f>
        <v>1.6924496917134602E-2</v>
      </c>
      <c r="J69" s="170"/>
      <c r="K69" s="170" t="s">
        <v>71</v>
      </c>
      <c r="L69" s="280">
        <f>YTD!L49</f>
        <v>2728660</v>
      </c>
      <c r="M69" s="280">
        <f>-1*YTD!L50</f>
        <v>0</v>
      </c>
      <c r="N69" s="170"/>
    </row>
    <row r="70" spans="1:14" x14ac:dyDescent="0.25">
      <c r="A70" s="170" t="s">
        <v>71</v>
      </c>
      <c r="B70" s="278">
        <f>-1*(IF($B$2="Q1",'Q1'!L22,IF(Data!$B$2="Q2",'Q2'!L22,IF(Data!$B$2="Q3",'Q3'!L22,'Q4'!L22))))</f>
        <v>1174</v>
      </c>
      <c r="C70" s="170"/>
      <c r="D70" s="170" t="s">
        <v>68</v>
      </c>
      <c r="E70" s="280">
        <f>IF($B$2="Q1",'Q1'!H51,IF(Data!$B$2="Q2",'Q2'!H51,IF(Data!$B$2="Q3",'Q3'!H51,'Q4'!H51)))</f>
        <v>1259747</v>
      </c>
      <c r="F70" s="170"/>
      <c r="G70" s="170" t="s">
        <v>68</v>
      </c>
      <c r="H70" s="280">
        <f>IF($B$2="Q1",'Q1'!H51,IF(Data!$B$2="Q2",'Q2'!H51,IF(Data!$B$2="Q3",'Q3'!H51,'Q4'!H51)))</f>
        <v>1259747</v>
      </c>
      <c r="I70" s="177">
        <f>YTD!H145</f>
        <v>1.2266956176681275E-2</v>
      </c>
      <c r="J70" s="170"/>
      <c r="K70" s="170" t="s">
        <v>68</v>
      </c>
      <c r="L70" s="280">
        <f>YTD!H49</f>
        <v>1259747</v>
      </c>
      <c r="M70" s="280">
        <f>-1*YTD!H50</f>
        <v>0</v>
      </c>
      <c r="N70" s="170"/>
    </row>
    <row r="71" spans="1:14" x14ac:dyDescent="0.25">
      <c r="A71" s="170" t="s">
        <v>70</v>
      </c>
      <c r="B71" s="280">
        <f>-1*(IF($B$2="Q1",'Q1'!K22,IF(Data!$B$2="Q2",'Q2'!K22,IF(Data!$B$2="Q3",'Q3'!K22,'Q4'!K22))))</f>
        <v>3054</v>
      </c>
      <c r="C71" s="170"/>
      <c r="D71" s="170" t="s">
        <v>83</v>
      </c>
      <c r="E71" s="280">
        <f>IF($B$2="Q1",'Q1'!F51,IF(Data!$B$2="Q2",'Q2'!F51,IF(Data!$B$2="Q3",'Q3'!F51,'Q4'!F51)))</f>
        <v>891138</v>
      </c>
      <c r="F71" s="170"/>
      <c r="G71" s="170" t="s">
        <v>83</v>
      </c>
      <c r="H71" s="280">
        <f>IF($B$2="Q1",'Q1'!F51,IF(Data!$B$2="Q2",'Q2'!F51,IF(Data!$B$2="Q3",'Q3'!F51,'Q4'!F51)))</f>
        <v>891138</v>
      </c>
      <c r="I71" s="177">
        <f>YTD!F145</f>
        <v>2.4236187264810513E-2</v>
      </c>
      <c r="J71" s="170"/>
      <c r="K71" s="170" t="s">
        <v>83</v>
      </c>
      <c r="L71" s="280">
        <f>YTD!F49</f>
        <v>950343</v>
      </c>
      <c r="M71" s="280">
        <f>-1*YTD!F50</f>
        <v>59205</v>
      </c>
      <c r="N71" s="170"/>
    </row>
    <row r="72" spans="1:14" x14ac:dyDescent="0.25">
      <c r="A72" s="170" t="s">
        <v>67</v>
      </c>
      <c r="B72" s="280">
        <f>-1*(IF($B$2="Q1",'Q1'!E22,IF(Data!$B$2="Q2",'Q2'!E22,IF(Data!$B$2="Q3",'Q3'!E22,'Q4'!E22))))</f>
        <v>5213</v>
      </c>
      <c r="C72" s="170"/>
      <c r="D72" s="170" t="s">
        <v>66</v>
      </c>
      <c r="E72" s="280">
        <f>IF($B$2="Q1",'Q1'!D51,IF(Data!$B$2="Q2",'Q2'!D51,IF(Data!$B$2="Q3",'Q3'!D51,'Q4'!D51)))</f>
        <v>492402</v>
      </c>
      <c r="F72" s="170"/>
      <c r="G72" s="170" t="s">
        <v>66</v>
      </c>
      <c r="H72" s="280">
        <f>IF($B$2="Q1",'Q1'!D51,IF(Data!$B$2="Q2",'Q2'!D51,IF(Data!$B$2="Q3",'Q3'!D51,'Q4'!D51)))</f>
        <v>492402</v>
      </c>
      <c r="I72" s="177">
        <f>YTD!D145</f>
        <v>3.0245415935505202E-2</v>
      </c>
      <c r="J72" s="170"/>
      <c r="K72" s="170" t="s">
        <v>66</v>
      </c>
      <c r="L72" s="280">
        <f>YTD!D49</f>
        <v>492402</v>
      </c>
      <c r="M72" s="280">
        <f>-1*YTD!D50</f>
        <v>0</v>
      </c>
      <c r="N72" s="170"/>
    </row>
    <row r="73" spans="1:14" x14ac:dyDescent="0.25">
      <c r="A73" s="170" t="s">
        <v>66</v>
      </c>
      <c r="B73" s="280">
        <f>-1*(IF($B$2="Q1",'Q1'!D22,IF(Data!$B$2="Q2",'Q2'!D22,IF(Data!$B$2="Q3",'Q3'!D22,'Q4'!D22))))</f>
        <v>2144</v>
      </c>
      <c r="C73" s="170"/>
      <c r="D73" s="170" t="s">
        <v>69</v>
      </c>
      <c r="E73" s="280">
        <f>IF($B$2="Q1",'Q1'!I51,IF(Data!$B$2="Q2",'Q2'!I51,IF(Data!$B$2="Q3",'Q3'!I51,'Q4'!I51)))</f>
        <v>0</v>
      </c>
      <c r="F73" s="170"/>
      <c r="G73" s="170" t="s">
        <v>69</v>
      </c>
      <c r="H73" s="280">
        <f>IF($B$2="Q1",'Q1'!I51,IF(Data!$B$2="Q2",'Q2'!I51,IF(Data!$B$2="Q3",'Q3'!I51,'Q4'!I51)))</f>
        <v>0</v>
      </c>
      <c r="I73" s="177" t="e">
        <f>YTD!I145</f>
        <v>#DIV/0!</v>
      </c>
      <c r="J73" s="170"/>
      <c r="K73" s="170" t="s">
        <v>69</v>
      </c>
      <c r="L73" s="280">
        <f>YTD!I49</f>
        <v>0</v>
      </c>
      <c r="M73" s="280">
        <f>-1*YTD!I50</f>
        <v>0</v>
      </c>
      <c r="N73" s="170"/>
    </row>
    <row r="74" spans="1:14" x14ac:dyDescent="0.25">
      <c r="A74" s="170" t="s">
        <v>83</v>
      </c>
      <c r="B74" s="280">
        <f>-1*(IF($B$2="Q1",'Q1'!F22,IF(Data!$B$2="Q2",'Q2'!F22,IF(Data!$B$2="Q3",'Q3'!F22,'Q4'!F22))))</f>
        <v>4904</v>
      </c>
      <c r="C74" s="170"/>
      <c r="D74" s="170" t="s">
        <v>70</v>
      </c>
      <c r="E74" s="280">
        <f>IF($B$2="Q1",'Q1'!K51,IF(Data!$B$2="Q2",'Q2'!K51,IF(Data!$B$2="Q3",'Q3'!K51,'Q4'!K51)))</f>
        <v>433528</v>
      </c>
      <c r="F74" s="170"/>
      <c r="G74" s="170" t="s">
        <v>70</v>
      </c>
      <c r="H74" s="280">
        <f>IF($B$2="Q1",'Q1'!K51,IF(Data!$B$2="Q2",'Q2'!K51,IF(Data!$B$2="Q3",'Q3'!K51,'Q4'!K51)))</f>
        <v>433528</v>
      </c>
      <c r="I74" s="177">
        <f>YTD!K145</f>
        <v>2.3230918405560089E-2</v>
      </c>
      <c r="J74" s="170"/>
      <c r="K74" s="170" t="s">
        <v>82</v>
      </c>
      <c r="L74" s="280">
        <f>YTD!G49</f>
        <v>168718</v>
      </c>
      <c r="M74" s="280">
        <f>-1*YTD!G50</f>
        <v>0</v>
      </c>
      <c r="N74" s="170"/>
    </row>
    <row r="75" spans="1:14" x14ac:dyDescent="0.25">
      <c r="A75" s="170" t="s">
        <v>161</v>
      </c>
      <c r="B75" s="280">
        <f>-1*(IF($B$2="Q1",'Q1'!J22,IF(Data!$B$2="Q2",'Q2'!J22,IF(Data!$B$2="Q3",'Q3'!J22,'Q4'!J22))))</f>
        <v>1216</v>
      </c>
      <c r="C75" s="170"/>
      <c r="D75" s="170" t="s">
        <v>67</v>
      </c>
      <c r="E75" s="280">
        <f>IF($B$2="Q1",'Q1'!E51,IF(Data!$B$2="Q2",'Q2'!E51,IF(Data!$B$2="Q3",'Q3'!E51,'Q4'!E51)))</f>
        <v>195120</v>
      </c>
      <c r="F75" s="170"/>
      <c r="G75" s="170" t="s">
        <v>67</v>
      </c>
      <c r="H75" s="280">
        <f>IF($B$2="Q1",'Q1'!E51,IF(Data!$B$2="Q2",'Q2'!E51,IF(Data!$B$2="Q3",'Q3'!E51,'Q4'!E51)))</f>
        <v>195120</v>
      </c>
      <c r="I75" s="177">
        <f>YTD!E145</f>
        <v>8.0557844097856629E-2</v>
      </c>
      <c r="J75" s="170"/>
      <c r="K75" s="170" t="s">
        <v>70</v>
      </c>
      <c r="L75" s="280">
        <f>YTD!K49</f>
        <v>440140</v>
      </c>
      <c r="M75" s="280">
        <f>-1*YTD!K50</f>
        <v>6612</v>
      </c>
      <c r="N75" s="170"/>
    </row>
    <row r="76" spans="1:14" x14ac:dyDescent="0.25">
      <c r="A76" s="170" t="s">
        <v>68</v>
      </c>
      <c r="B76" s="280">
        <f>-1*(IF($B$2="Q1",'Q1'!H22,IF(Data!$B$2="Q2",'Q2'!H22,IF(Data!$B$2="Q3",'Q3'!H22,'Q4'!H22))))</f>
        <v>4990</v>
      </c>
      <c r="C76" s="170"/>
      <c r="D76" s="170" t="s">
        <v>82</v>
      </c>
      <c r="E76" s="280">
        <f>IF($B$2="Q1",'Q1'!G51,IF(Data!$B$2="Q2",'Q2'!G51,IF(Data!$B$2="Q3",'Q3'!G51,'Q4'!G51)))</f>
        <v>168718</v>
      </c>
      <c r="F76" s="170"/>
      <c r="G76" s="170" t="s">
        <v>82</v>
      </c>
      <c r="H76" s="280">
        <f>IF($B$2="Q1",'Q1'!G51,IF(Data!$B$2="Q2",'Q2'!G51,IF(Data!$B$2="Q3",'Q3'!G51,'Q4'!G51)))</f>
        <v>168718</v>
      </c>
      <c r="I76" s="177">
        <f>YTD!G145</f>
        <v>0.43638498211211857</v>
      </c>
      <c r="J76" s="170"/>
      <c r="K76" s="170" t="s">
        <v>67</v>
      </c>
      <c r="L76" s="280">
        <f>YTD!E49</f>
        <v>232439</v>
      </c>
      <c r="M76" s="280">
        <f>-1*YTD!E50</f>
        <v>37319</v>
      </c>
      <c r="N76" s="170"/>
    </row>
    <row r="77" spans="1:14" x14ac:dyDescent="0.25">
      <c r="A77" s="170"/>
      <c r="B77" s="282">
        <f>SUM(B67:B76)</f>
        <v>46318</v>
      </c>
      <c r="C77" s="170"/>
      <c r="D77" s="170"/>
      <c r="E77" s="282">
        <f>SUM(E67:E76)</f>
        <v>12335199</v>
      </c>
      <c r="F77" s="170"/>
      <c r="G77" s="170"/>
      <c r="H77" s="282">
        <f>SUM(H67:H76)</f>
        <v>12335199</v>
      </c>
      <c r="I77" s="177"/>
      <c r="J77" s="170"/>
      <c r="K77" s="170"/>
      <c r="L77" s="282">
        <f>SUM(L67:L76)</f>
        <v>12438335</v>
      </c>
      <c r="M77" s="282">
        <f>SUM(M67:M76)</f>
        <v>103136</v>
      </c>
      <c r="N77" s="170"/>
    </row>
    <row r="78" spans="1:14" x14ac:dyDescent="0.25">
      <c r="A78" s="170"/>
      <c r="B78" s="281">
        <f>-'Q2'!M22</f>
        <v>46318</v>
      </c>
      <c r="C78" s="170"/>
      <c r="D78" s="170"/>
      <c r="E78" s="281">
        <f>'Q2'!M51</f>
        <v>12335199</v>
      </c>
      <c r="F78" s="170"/>
      <c r="G78" s="170"/>
      <c r="H78" s="281">
        <f>'Q2'!M51</f>
        <v>12335199</v>
      </c>
      <c r="I78" s="177"/>
      <c r="J78" s="170"/>
      <c r="K78" s="170"/>
      <c r="L78" s="281">
        <f>'Q2'!M49</f>
        <v>12438335</v>
      </c>
      <c r="M78" s="281">
        <f>-'Q2'!M50</f>
        <v>103136</v>
      </c>
      <c r="N78" s="170"/>
    </row>
    <row r="79" spans="1:14" x14ac:dyDescent="0.25">
      <c r="A79" s="170"/>
      <c r="B79" s="282">
        <f>B77-B78</f>
        <v>0</v>
      </c>
      <c r="C79" s="170"/>
      <c r="D79" s="170"/>
      <c r="E79" s="282">
        <f>E77-E78</f>
        <v>0</v>
      </c>
      <c r="F79" s="170"/>
      <c r="G79" s="170"/>
      <c r="H79" s="282">
        <f>H77-H78</f>
        <v>0</v>
      </c>
      <c r="I79" s="177"/>
      <c r="J79" s="170"/>
      <c r="K79" s="170"/>
      <c r="L79" s="282">
        <f>L77-L78</f>
        <v>0</v>
      </c>
      <c r="M79" s="282">
        <f>M77-M78</f>
        <v>0</v>
      </c>
      <c r="N79" s="170"/>
    </row>
    <row r="81" spans="1:13" x14ac:dyDescent="0.25">
      <c r="A81" s="171" t="s">
        <v>122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</row>
    <row r="82" spans="1:13" x14ac:dyDescent="0.25">
      <c r="A82" s="171"/>
      <c r="B82" s="171" t="s">
        <v>55</v>
      </c>
      <c r="C82" s="171" t="s">
        <v>56</v>
      </c>
      <c r="D82" s="171" t="s">
        <v>4</v>
      </c>
      <c r="E82" s="171"/>
      <c r="F82" s="171"/>
      <c r="G82" s="171" t="s">
        <v>126</v>
      </c>
      <c r="H82" s="171"/>
      <c r="I82" s="171"/>
      <c r="J82" s="171" t="s">
        <v>123</v>
      </c>
      <c r="K82" s="171"/>
      <c r="L82" s="171"/>
      <c r="M82" s="171" t="s">
        <v>124</v>
      </c>
    </row>
    <row r="83" spans="1:13" x14ac:dyDescent="0.25">
      <c r="A83" s="171" t="s">
        <v>65</v>
      </c>
      <c r="B83" s="283">
        <f>YTD!C98</f>
        <v>1885524</v>
      </c>
      <c r="C83" s="283">
        <f>YTD!C99</f>
        <v>0</v>
      </c>
      <c r="D83" s="283">
        <f>SUM(B83:C83)</f>
        <v>1885524</v>
      </c>
      <c r="E83" s="171"/>
      <c r="F83" s="171" t="s">
        <v>65</v>
      </c>
      <c r="G83" s="283">
        <f>YTD!C127</f>
        <v>1030946.25</v>
      </c>
      <c r="H83" s="171"/>
      <c r="I83" s="171" t="s">
        <v>65</v>
      </c>
      <c r="J83" s="172">
        <f>YTD!C120</f>
        <v>0.33095713058291071</v>
      </c>
      <c r="K83" s="171"/>
      <c r="L83" s="171" t="s">
        <v>68</v>
      </c>
      <c r="M83" s="172">
        <f>YTD!H160</f>
        <v>0.24138243711853172</v>
      </c>
    </row>
    <row r="84" spans="1:13" x14ac:dyDescent="0.25">
      <c r="A84" s="171" t="s">
        <v>66</v>
      </c>
      <c r="B84" s="283">
        <f>YTD!D98</f>
        <v>199919</v>
      </c>
      <c r="C84" s="283">
        <f>YTD!D99</f>
        <v>0</v>
      </c>
      <c r="D84" s="283">
        <f t="shared" ref="D84:D91" si="17">SUM(B84:C84)</f>
        <v>199919</v>
      </c>
      <c r="E84" s="171"/>
      <c r="F84" s="171" t="s">
        <v>69</v>
      </c>
      <c r="G84" s="278">
        <f>YTD!I127</f>
        <v>-2500</v>
      </c>
      <c r="H84" s="171"/>
      <c r="I84" s="171" t="s">
        <v>67</v>
      </c>
      <c r="J84" s="172">
        <f>YTD!E120</f>
        <v>0.11039415591233868</v>
      </c>
      <c r="K84" s="171"/>
      <c r="L84" s="171" t="s">
        <v>66</v>
      </c>
      <c r="M84" s="172">
        <f>YTD!D160</f>
        <v>0.24347110620017459</v>
      </c>
    </row>
    <row r="85" spans="1:13" x14ac:dyDescent="0.25">
      <c r="A85" s="171" t="s">
        <v>67</v>
      </c>
      <c r="B85" s="283">
        <f>YTD!E98</f>
        <v>44157</v>
      </c>
      <c r="C85" s="283">
        <f>YTD!E99</f>
        <v>0</v>
      </c>
      <c r="D85" s="283">
        <f t="shared" si="17"/>
        <v>44157</v>
      </c>
      <c r="E85" s="171"/>
      <c r="F85" s="171" t="s">
        <v>83</v>
      </c>
      <c r="G85" s="283">
        <f>YTD!F127</f>
        <v>127764.1</v>
      </c>
      <c r="H85" s="171"/>
      <c r="I85" s="171" t="s">
        <v>68</v>
      </c>
      <c r="J85" s="172">
        <f>YTD!H120</f>
        <v>0.3057449711541958</v>
      </c>
      <c r="K85" s="171"/>
      <c r="L85" s="171" t="s">
        <v>83</v>
      </c>
      <c r="M85" s="172">
        <f>YTD!F160</f>
        <v>0.432639698723641</v>
      </c>
    </row>
    <row r="86" spans="1:13" x14ac:dyDescent="0.25">
      <c r="A86" s="171" t="s">
        <v>83</v>
      </c>
      <c r="B86" s="283">
        <f>YTD!F98</f>
        <v>261367</v>
      </c>
      <c r="C86" s="283">
        <f>YTD!F99</f>
        <v>0</v>
      </c>
      <c r="D86" s="283">
        <f t="shared" si="17"/>
        <v>261367</v>
      </c>
      <c r="E86" s="171"/>
      <c r="F86" s="171" t="s">
        <v>67</v>
      </c>
      <c r="G86" s="283">
        <f>YTD!E127</f>
        <v>-15842.099999999999</v>
      </c>
      <c r="H86" s="171"/>
      <c r="I86" s="171" t="s">
        <v>69</v>
      </c>
      <c r="J86" s="172" t="e">
        <f>YTD!I120</f>
        <v>#DIV/0!</v>
      </c>
      <c r="K86" s="171"/>
      <c r="L86" s="171" t="s">
        <v>65</v>
      </c>
      <c r="M86" s="172">
        <f>YTD!C160</f>
        <v>0.19773520784529747</v>
      </c>
    </row>
    <row r="87" spans="1:13" x14ac:dyDescent="0.25">
      <c r="A87" s="171" t="s">
        <v>82</v>
      </c>
      <c r="B87" s="283">
        <f>YTD!G98</f>
        <v>89619</v>
      </c>
      <c r="C87" s="283">
        <f>YTD!G99</f>
        <v>0</v>
      </c>
      <c r="D87" s="283">
        <f t="shared" si="17"/>
        <v>89619</v>
      </c>
      <c r="E87" s="171"/>
      <c r="F87" s="171" t="s">
        <v>82</v>
      </c>
      <c r="G87" s="278">
        <f>YTD!G127</f>
        <v>54487.200000000004</v>
      </c>
      <c r="H87" s="171"/>
      <c r="I87" s="171" t="s">
        <v>83</v>
      </c>
      <c r="J87" s="172">
        <f>YTD!F120</f>
        <v>0.29344460337313039</v>
      </c>
      <c r="K87" s="171"/>
      <c r="L87" s="171" t="s">
        <v>71</v>
      </c>
      <c r="M87" s="172">
        <f>YTD!L160</f>
        <v>9.9260513070420664E-2</v>
      </c>
    </row>
    <row r="88" spans="1:13" x14ac:dyDescent="0.25">
      <c r="A88" s="171" t="s">
        <v>68</v>
      </c>
      <c r="B88" s="283">
        <f>YTD!H98</f>
        <v>580152</v>
      </c>
      <c r="C88" s="283">
        <f>YTD!H99</f>
        <v>0</v>
      </c>
      <c r="D88" s="283">
        <f t="shared" si="17"/>
        <v>580152</v>
      </c>
      <c r="E88" s="171"/>
      <c r="F88" s="171" t="s">
        <v>68</v>
      </c>
      <c r="G88" s="283">
        <f>YTD!H127</f>
        <v>295526.55</v>
      </c>
      <c r="H88" s="171"/>
      <c r="I88" s="171" t="s">
        <v>70</v>
      </c>
      <c r="J88" s="172">
        <f>YTD!K120</f>
        <v>0.16815691392425899</v>
      </c>
      <c r="K88" s="171"/>
      <c r="L88" s="171" t="s">
        <v>69</v>
      </c>
      <c r="M88" s="172" t="e">
        <f>YTD!I160</f>
        <v>#DIV/0!</v>
      </c>
    </row>
    <row r="89" spans="1:13" x14ac:dyDescent="0.25">
      <c r="A89" s="171" t="s">
        <v>69</v>
      </c>
      <c r="B89" s="278">
        <f>YTD!I98</f>
        <v>0</v>
      </c>
      <c r="C89" s="283">
        <f>YTD!I99</f>
        <v>0</v>
      </c>
      <c r="D89" s="278">
        <f t="shared" si="17"/>
        <v>0</v>
      </c>
      <c r="E89" s="171"/>
      <c r="F89" s="171" t="s">
        <v>66</v>
      </c>
      <c r="G89" s="283">
        <f>YTD!D127</f>
        <v>135423.35</v>
      </c>
      <c r="H89" s="171"/>
      <c r="I89" s="171" t="s">
        <v>66</v>
      </c>
      <c r="J89" s="172">
        <f>YTD!D120</f>
        <v>0.4649592646945957</v>
      </c>
      <c r="K89" s="171"/>
      <c r="L89" s="171" t="s">
        <v>82</v>
      </c>
      <c r="M89" s="172">
        <f>YTD!G160</f>
        <v>208.36403033586132</v>
      </c>
    </row>
    <row r="90" spans="1:13" x14ac:dyDescent="0.25">
      <c r="A90" s="171" t="s">
        <v>161</v>
      </c>
      <c r="B90" s="278">
        <f>YTD!J98</f>
        <v>558185</v>
      </c>
      <c r="C90" s="283">
        <f>YTD!J99</f>
        <v>4466</v>
      </c>
      <c r="D90" s="278">
        <f t="shared" si="17"/>
        <v>562651</v>
      </c>
      <c r="E90" s="171"/>
      <c r="F90" s="171" t="s">
        <v>161</v>
      </c>
      <c r="G90" s="278">
        <f>YTD!J127</f>
        <v>313454.59999999998</v>
      </c>
      <c r="H90" s="171"/>
      <c r="I90" s="171" t="s">
        <v>161</v>
      </c>
      <c r="J90" s="172">
        <f>YTD!J120</f>
        <v>0.22578616705538282</v>
      </c>
      <c r="K90" s="171"/>
      <c r="L90" s="171" t="s">
        <v>161</v>
      </c>
      <c r="M90" s="172">
        <f>YTD!J160</f>
        <v>0.53650565055013111</v>
      </c>
    </row>
    <row r="91" spans="1:13" x14ac:dyDescent="0.25">
      <c r="A91" s="171" t="s">
        <v>70</v>
      </c>
      <c r="B91" s="283">
        <f>YTD!K98</f>
        <v>114418</v>
      </c>
      <c r="C91" s="283">
        <f>YTD!K99</f>
        <v>0</v>
      </c>
      <c r="D91" s="283">
        <f t="shared" si="17"/>
        <v>114418</v>
      </c>
      <c r="E91" s="171"/>
      <c r="F91" s="171" t="s">
        <v>70</v>
      </c>
      <c r="G91" s="283">
        <f>YTD!K127</f>
        <v>12354.400000000009</v>
      </c>
      <c r="H91" s="171"/>
      <c r="I91" s="171" t="s">
        <v>82</v>
      </c>
      <c r="J91" s="172">
        <f>YTD!G120</f>
        <v>0.38264051372261026</v>
      </c>
      <c r="K91" s="171"/>
      <c r="L91" s="171" t="s">
        <v>70</v>
      </c>
      <c r="M91" s="172">
        <f>YTD!K160</f>
        <v>0.3843216988591438</v>
      </c>
    </row>
    <row r="92" spans="1:13" x14ac:dyDescent="0.25">
      <c r="A92" s="171" t="s">
        <v>71</v>
      </c>
      <c r="B92" s="283">
        <f>YTD!L98</f>
        <v>1331485</v>
      </c>
      <c r="C92" s="283">
        <f>YTD!L99</f>
        <v>26895</v>
      </c>
      <c r="D92" s="283">
        <f>YTD!L100</f>
        <v>1358380</v>
      </c>
      <c r="E92" s="171"/>
      <c r="F92" s="171" t="s">
        <v>71</v>
      </c>
      <c r="G92" s="283">
        <f>YTD!L127</f>
        <v>1020298.1</v>
      </c>
      <c r="H92" s="171"/>
      <c r="I92" s="171" t="s">
        <v>71</v>
      </c>
      <c r="J92" s="172">
        <f>YTD!L120</f>
        <v>0.40179021710419871</v>
      </c>
      <c r="K92" s="171"/>
      <c r="L92" s="171" t="s">
        <v>67</v>
      </c>
      <c r="M92" s="172">
        <f>YTD!E160</f>
        <v>-6.4966465889187919E-2</v>
      </c>
    </row>
    <row r="93" spans="1:13" x14ac:dyDescent="0.25">
      <c r="A93" s="171"/>
      <c r="B93" s="171">
        <f>SUM(B83:B92)</f>
        <v>5064826</v>
      </c>
      <c r="C93" s="171">
        <f t="shared" ref="C93:D93" si="18">SUM(C83:C92)</f>
        <v>31361</v>
      </c>
      <c r="D93" s="171">
        <f t="shared" si="18"/>
        <v>5096187</v>
      </c>
      <c r="E93" s="171"/>
      <c r="F93" s="171"/>
      <c r="G93" s="171">
        <f t="shared" ref="G93" si="19">SUM(G83:G92)</f>
        <v>2971912.45</v>
      </c>
      <c r="H93" s="171"/>
      <c r="I93" s="171"/>
      <c r="J93" s="172"/>
      <c r="K93" s="171"/>
      <c r="L93" s="171"/>
      <c r="M93" s="172"/>
    </row>
    <row r="94" spans="1:13" x14ac:dyDescent="0.25">
      <c r="A94" s="171"/>
      <c r="B94" s="171">
        <f>YTD!M98</f>
        <v>5064826</v>
      </c>
      <c r="C94" s="171">
        <f>YTD!M99</f>
        <v>31361</v>
      </c>
      <c r="D94" s="171">
        <f>YTD!M100</f>
        <v>5096187</v>
      </c>
      <c r="E94" s="171"/>
      <c r="F94" s="171"/>
      <c r="G94" s="171">
        <f>YTD!M127</f>
        <v>2971912.45</v>
      </c>
      <c r="H94" s="171"/>
      <c r="I94" s="171"/>
      <c r="J94" s="172"/>
      <c r="K94" s="171"/>
      <c r="L94" s="171"/>
      <c r="M94" s="172"/>
    </row>
    <row r="95" spans="1:13" x14ac:dyDescent="0.25">
      <c r="A95" s="171"/>
      <c r="B95" s="171">
        <f>B93-B94</f>
        <v>0</v>
      </c>
      <c r="C95" s="171">
        <f t="shared" ref="C95:D95" si="20">C93-C94</f>
        <v>0</v>
      </c>
      <c r="D95" s="171">
        <f t="shared" si="20"/>
        <v>0</v>
      </c>
      <c r="E95" s="171"/>
      <c r="F95" s="171"/>
      <c r="G95" s="185">
        <f>G93-G94</f>
        <v>0</v>
      </c>
      <c r="H95" s="171"/>
      <c r="I95" s="171"/>
      <c r="J95" s="172"/>
      <c r="K95" s="171"/>
      <c r="L95" s="171"/>
      <c r="M95" s="172"/>
    </row>
    <row r="97" spans="1:13" x14ac:dyDescent="0.25">
      <c r="A97" s="173" t="s">
        <v>125</v>
      </c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</row>
    <row r="98" spans="1:13" x14ac:dyDescent="0.25">
      <c r="A98" s="213"/>
      <c r="B98" s="213" t="s">
        <v>159</v>
      </c>
      <c r="C98" s="173" t="s">
        <v>121</v>
      </c>
      <c r="D98" s="173"/>
      <c r="E98" s="213"/>
      <c r="F98" s="213" t="s">
        <v>159</v>
      </c>
      <c r="G98" s="156" t="s">
        <v>160</v>
      </c>
      <c r="H98" s="173"/>
      <c r="I98" s="173"/>
      <c r="J98" s="173" t="s">
        <v>157</v>
      </c>
      <c r="K98" s="173"/>
      <c r="L98" s="173"/>
      <c r="M98" s="173"/>
    </row>
    <row r="99" spans="1:13" x14ac:dyDescent="0.25">
      <c r="A99" s="213" t="s">
        <v>65</v>
      </c>
      <c r="B99" s="213">
        <f>YTD!C135</f>
        <v>0.32418461659328879</v>
      </c>
      <c r="C99" s="284" t="e">
        <f>IF($B$2="Q1",'Q1'!C51,IF(Data!$B$2="Q2",#REF!,IF(Data!$B$2="Q3",'Q3'!C51,'Q4'!C51)))</f>
        <v>#REF!</v>
      </c>
      <c r="D99" s="173"/>
      <c r="E99" s="213" t="s">
        <v>71</v>
      </c>
      <c r="F99" s="213">
        <f>YTD!L136</f>
        <v>0.10308477854364619</v>
      </c>
      <c r="G99" s="284">
        <f>YTD!$L$57</f>
        <v>2150472</v>
      </c>
      <c r="H99" s="173"/>
      <c r="I99" s="173" t="s">
        <v>67</v>
      </c>
      <c r="J99" s="213">
        <f>YTD!E132</f>
        <v>0.30465235181313827</v>
      </c>
      <c r="K99" s="173"/>
      <c r="L99" s="173"/>
      <c r="M99" s="173"/>
    </row>
    <row r="100" spans="1:13" x14ac:dyDescent="0.25">
      <c r="A100" s="173" t="s">
        <v>161</v>
      </c>
      <c r="B100" s="213">
        <f>YTD!J135</f>
        <v>0.34261804516510663</v>
      </c>
      <c r="C100" s="284" t="e">
        <f>IF($B$2="Q1",'Q1'!J51,IF(Data!$B$2="Q2",#REF!,IF(Data!$B$2="Q3",'Q3'!J51,'Q4'!J51)))</f>
        <v>#REF!</v>
      </c>
      <c r="D100" s="173"/>
      <c r="E100" s="173" t="s">
        <v>161</v>
      </c>
      <c r="F100" s="213">
        <f>YTD!J136</f>
        <v>9.2180054109074025E-2</v>
      </c>
      <c r="G100" s="284">
        <f>YTD!$J$57</f>
        <v>2588866</v>
      </c>
      <c r="H100" s="173"/>
      <c r="I100" s="173" t="s">
        <v>66</v>
      </c>
      <c r="J100" s="213">
        <f>YTD!D132</f>
        <v>0.22430169410848352</v>
      </c>
      <c r="K100" s="173"/>
      <c r="L100" s="173"/>
      <c r="M100" s="173"/>
    </row>
    <row r="101" spans="1:13" x14ac:dyDescent="0.25">
      <c r="A101" s="213" t="s">
        <v>71</v>
      </c>
      <c r="B101" s="213">
        <f>YTD!L135</f>
        <v>0.26465801734742594</v>
      </c>
      <c r="C101" s="284" t="e">
        <f>IF($B$2="Q1",'Q1'!L51,IF(Data!$B$2="Q2",#REF!,IF(Data!$B$2="Q3",'Q3'!L51,'Q4'!L51)))</f>
        <v>#REF!</v>
      </c>
      <c r="D101" s="173"/>
      <c r="E101" s="213" t="s">
        <v>68</v>
      </c>
      <c r="F101" s="213">
        <f>YTD!H136</f>
        <v>0.20810757006103145</v>
      </c>
      <c r="G101" s="284">
        <f>YTD!$H$57</f>
        <v>933664</v>
      </c>
      <c r="H101" s="173"/>
      <c r="I101" s="173" t="s">
        <v>69</v>
      </c>
      <c r="J101" s="213" t="e">
        <f>YTD!I132</f>
        <v>#DIV/0!</v>
      </c>
      <c r="K101" s="173"/>
      <c r="L101" s="173"/>
      <c r="M101" s="173"/>
    </row>
    <row r="102" spans="1:13" x14ac:dyDescent="0.25">
      <c r="A102" s="213" t="s">
        <v>68</v>
      </c>
      <c r="B102" s="213">
        <f>YTD!H135</f>
        <v>0.36546802878380025</v>
      </c>
      <c r="C102" s="284" t="e">
        <f>IF($B$2="Q1",'Q1'!H51,IF(Data!$B$2="Q2",#REF!,IF(Data!$B$2="Q3",'Q3'!H51,'Q4'!H51)))</f>
        <v>#REF!</v>
      </c>
      <c r="D102" s="173"/>
      <c r="E102" s="213" t="s">
        <v>65</v>
      </c>
      <c r="F102" s="213">
        <f>YTD!C136</f>
        <v>0.17016887903442873</v>
      </c>
      <c r="G102" s="284">
        <f>YTD!$C$57</f>
        <v>840056</v>
      </c>
      <c r="H102" s="173"/>
      <c r="I102" s="173" t="s">
        <v>70</v>
      </c>
      <c r="J102" s="213">
        <f>YTD!K132</f>
        <v>0.3638911342559123</v>
      </c>
      <c r="K102" s="173"/>
      <c r="L102" s="173"/>
      <c r="M102" s="173"/>
    </row>
    <row r="103" spans="1:13" x14ac:dyDescent="0.25">
      <c r="A103" s="213" t="s">
        <v>83</v>
      </c>
      <c r="B103" s="213">
        <f>YTD!F135</f>
        <v>0.28006395998425937</v>
      </c>
      <c r="C103" s="284" t="e">
        <f>IF($B$2="Q1",'Q1'!F51,IF(Data!$B$2="Q2",#REF!,IF(Data!$B$2="Q3",'Q3'!F51,'Q4'!F51)))</f>
        <v>#REF!</v>
      </c>
      <c r="D103" s="173"/>
      <c r="E103" s="213" t="s">
        <v>83</v>
      </c>
      <c r="F103" s="213">
        <f>YTD!F136</f>
        <v>0.17041989932703744</v>
      </c>
      <c r="G103" s="284">
        <f>YTD!$F$57</f>
        <v>971498</v>
      </c>
      <c r="H103" s="173"/>
      <c r="I103" s="173" t="s">
        <v>65</v>
      </c>
      <c r="J103" s="213">
        <f>YTD!C132</f>
        <v>0.17757552645439748</v>
      </c>
      <c r="K103" s="173"/>
      <c r="L103" s="173"/>
      <c r="M103" s="173"/>
    </row>
    <row r="104" spans="1:13" x14ac:dyDescent="0.25">
      <c r="A104" s="213" t="s">
        <v>66</v>
      </c>
      <c r="B104" s="213">
        <f>YTD!D135</f>
        <v>0.49818875410086211</v>
      </c>
      <c r="C104" s="284" t="e">
        <f>IF($B$2="Q1",'Q1'!D51,IF(Data!$B$2="Q2",#REF!,IF(Data!$B$2="Q3",'Q3'!D51,'Q4'!D51)))</f>
        <v>#REF!</v>
      </c>
      <c r="D104" s="173"/>
      <c r="E104" s="213" t="s">
        <v>69</v>
      </c>
      <c r="F104" s="213" t="e">
        <f>YTD!I136</f>
        <v>#DIV/0!</v>
      </c>
      <c r="G104" s="284">
        <f>YTD!$I$57</f>
        <v>0</v>
      </c>
      <c r="H104" s="173"/>
      <c r="I104" s="173" t="s">
        <v>68</v>
      </c>
      <c r="J104" s="213">
        <f>YTD!H132</f>
        <v>0.13911250065758668</v>
      </c>
      <c r="K104" s="173"/>
      <c r="L104" s="173"/>
      <c r="M104" s="173"/>
    </row>
    <row r="105" spans="1:13" x14ac:dyDescent="0.25">
      <c r="A105" s="213" t="s">
        <v>69</v>
      </c>
      <c r="B105" s="213" t="e">
        <f>YTD!I135</f>
        <v>#DIV/0!</v>
      </c>
      <c r="C105" s="284" t="e">
        <f>IF($B$2="Q1",'Q1'!I51,IF(Data!$B$2="Q2",#REF!,IF(Data!$B$2="Q3",'Q3'!I51,'Q4'!I51)))</f>
        <v>#REF!</v>
      </c>
      <c r="D105" s="173"/>
      <c r="E105" s="213" t="s">
        <v>66</v>
      </c>
      <c r="F105" s="213">
        <f>YTD!D136</f>
        <v>0.13853536407260589</v>
      </c>
      <c r="G105" s="284">
        <f>YTD!$D$57</f>
        <v>217601</v>
      </c>
      <c r="H105" s="173"/>
      <c r="I105" s="173" t="s">
        <v>71</v>
      </c>
      <c r="J105" s="213">
        <f>YTD!L132</f>
        <v>0.1011017886315267</v>
      </c>
      <c r="K105" s="173"/>
      <c r="L105" s="173"/>
      <c r="M105" s="173"/>
    </row>
    <row r="106" spans="1:13" x14ac:dyDescent="0.25">
      <c r="A106" s="213" t="s">
        <v>70</v>
      </c>
      <c r="B106" s="213">
        <f>YTD!K135</f>
        <v>0.63671176084157866</v>
      </c>
      <c r="C106" s="284" t="e">
        <f>IF($B$2="Q1",'Q1'!K51,IF(Data!$B$2="Q2",#REF!,IF(Data!$B$2="Q3",'Q3'!K51,'Q4'!K51)))</f>
        <v>#REF!</v>
      </c>
      <c r="D106" s="173"/>
      <c r="E106" s="213" t="s">
        <v>82</v>
      </c>
      <c r="F106" s="213">
        <f>YTD!G136</f>
        <v>0.16555254400728178</v>
      </c>
      <c r="G106" s="284">
        <f>YTD!$G$57</f>
        <v>239020</v>
      </c>
      <c r="H106" s="173"/>
      <c r="I106" s="173" t="s">
        <v>161</v>
      </c>
      <c r="J106" s="213">
        <f>YTD!J132</f>
        <v>0.17895072170780416</v>
      </c>
      <c r="K106" s="173"/>
      <c r="L106" s="173"/>
      <c r="M106" s="173"/>
    </row>
    <row r="107" spans="1:13" x14ac:dyDescent="0.25">
      <c r="A107" s="213" t="s">
        <v>82</v>
      </c>
      <c r="B107" s="213">
        <f>YTD!G135</f>
        <v>0.36746706012073327</v>
      </c>
      <c r="C107" s="284" t="e">
        <f>IF($B$2="Q1",'Q1'!G51,IF(Data!$B$2="Q2",#REF!,IF(Data!$B$2="Q3",'Q3'!G51,'Q4'!G51)))</f>
        <v>#REF!</v>
      </c>
      <c r="D107" s="173"/>
      <c r="E107" s="213" t="s">
        <v>67</v>
      </c>
      <c r="F107" s="213">
        <f>YTD!E136</f>
        <v>0.18054437757439787</v>
      </c>
      <c r="G107" s="284">
        <f>YTD!$E$57</f>
        <v>235230</v>
      </c>
      <c r="H107" s="173"/>
      <c r="I107" s="173" t="s">
        <v>82</v>
      </c>
      <c r="J107" s="213">
        <f>YTD!G132</f>
        <v>0.10760894451652293</v>
      </c>
      <c r="K107" s="173"/>
      <c r="L107" s="173"/>
      <c r="M107" s="173"/>
    </row>
    <row r="108" spans="1:13" x14ac:dyDescent="0.25">
      <c r="A108" s="213" t="s">
        <v>67</v>
      </c>
      <c r="B108" s="213">
        <f>YTD!E135</f>
        <v>0.76125031512577745</v>
      </c>
      <c r="C108" s="284" t="e">
        <f>IF($B$2="Q1",'Q1'!E51,IF(Data!$B$2="Q2",#REF!,IF(Data!$B$2="Q3",'Q3'!E51,'Q4'!E51)))</f>
        <v>#REF!</v>
      </c>
      <c r="D108" s="173"/>
      <c r="E108" s="213" t="s">
        <v>70</v>
      </c>
      <c r="F108" s="213">
        <f>YTD!K136</f>
        <v>0.2377019968026719</v>
      </c>
      <c r="G108" s="284">
        <f>YTD!$K$57</f>
        <v>52519</v>
      </c>
      <c r="H108" s="173"/>
      <c r="I108" s="173" t="s">
        <v>83</v>
      </c>
      <c r="J108" s="213">
        <f>YTD!F132</f>
        <v>6.1014452461905164E-2</v>
      </c>
      <c r="K108" s="173"/>
      <c r="L108" s="173"/>
      <c r="M108" s="173"/>
    </row>
    <row r="109" spans="1:13" x14ac:dyDescent="0.25">
      <c r="C109" s="275" t="e">
        <f>SUM(C99:C108)</f>
        <v>#REF!</v>
      </c>
      <c r="G109" s="275">
        <f>SUM(G99:G108)</f>
        <v>8228926</v>
      </c>
    </row>
    <row r="110" spans="1:13" x14ac:dyDescent="0.25">
      <c r="C110">
        <f>'Q4'!M51</f>
        <v>0</v>
      </c>
      <c r="G110">
        <f>'Q4'!M57</f>
        <v>0</v>
      </c>
    </row>
    <row r="111" spans="1:13" x14ac:dyDescent="0.25">
      <c r="C111" s="275" t="e">
        <f>C109-C110</f>
        <v>#REF!</v>
      </c>
      <c r="G111" s="275">
        <f>G109-G110</f>
        <v>8228926</v>
      </c>
    </row>
  </sheetData>
  <sortState xmlns:xlrd2="http://schemas.microsoft.com/office/spreadsheetml/2017/richdata2" ref="E99:G108">
    <sortCondition descending="1" ref="G99:G108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Switchboard</vt:lpstr>
      <vt:lpstr>Previous Quarter</vt:lpstr>
      <vt:lpstr>Q1</vt:lpstr>
      <vt:lpstr>Q2</vt:lpstr>
      <vt:lpstr>Q3</vt:lpstr>
      <vt:lpstr>Q4</vt:lpstr>
      <vt:lpstr>YTD</vt:lpstr>
      <vt:lpstr>Base</vt:lpstr>
      <vt:lpstr>Data</vt:lpstr>
      <vt:lpstr>Overview</vt:lpstr>
      <vt:lpstr>Balance Sheet</vt:lpstr>
      <vt:lpstr>Income Statement</vt:lpstr>
      <vt:lpstr>Efficiency</vt:lpstr>
      <vt:lpstr>Credit</vt:lpstr>
      <vt:lpstr>Capital</vt:lpstr>
      <vt:lpstr>Loans &amp; Deposits Yield</vt:lpstr>
      <vt:lpstr>2026 Q2 Data</vt:lpstr>
      <vt:lpstr>2026 YTD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Gamma</dc:creator>
  <cp:lastModifiedBy>Bruno Simwinga</cp:lastModifiedBy>
  <dcterms:created xsi:type="dcterms:W3CDTF">2021-07-28T16:10:04Z</dcterms:created>
  <dcterms:modified xsi:type="dcterms:W3CDTF">2026-08-10T12:54:19Z</dcterms:modified>
</cp:coreProperties>
</file>